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KẾ TOÁN NĂM 2025\PHÒNG TÀI CHÍNH\BÁO CÁO\BÁO CÁO TÌNH HÌNH QUYẾT TOÁN\"/>
    </mc:Choice>
  </mc:AlternateContent>
  <bookViews>
    <workbookView xWindow="-120" yWindow="-120" windowWidth="20730" windowHeight="11160" firstSheet="2" activeTab="2"/>
  </bookViews>
  <sheets>
    <sheet name="Chart2" sheetId="13" state="hidden" r:id="rId1"/>
    <sheet name="Chart1" sheetId="12" state="hidden" r:id="rId2"/>
    <sheet name="Mẫu 12 T1-A" sheetId="10" r:id="rId3"/>
    <sheet name="Sheet1" sheetId="14" state="hidden" r:id="rId4"/>
    <sheet name="Mẫu 12 Tw B" sheetId="11" state="hidden" r:id="rId5"/>
  </sheets>
  <definedNames>
    <definedName name="_xlnm.Print_Titles" localSheetId="2">'Mẫu 12 T1-A'!$7:$11</definedName>
    <definedName name="_xlnm.Print_Titles" localSheetId="4">'Mẫu 12 Tw B'!$5:$7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10" l="1"/>
  <c r="D65" i="10"/>
  <c r="E52" i="10"/>
  <c r="F52" i="10"/>
  <c r="G52" i="10"/>
  <c r="H52" i="10"/>
  <c r="H45" i="10" s="1"/>
  <c r="I52" i="10"/>
  <c r="J52" i="10"/>
  <c r="K52" i="10"/>
  <c r="D52" i="10"/>
  <c r="E45" i="10"/>
  <c r="F45" i="10"/>
  <c r="G45" i="10"/>
  <c r="I45" i="10"/>
  <c r="J45" i="10"/>
  <c r="K45" i="10"/>
  <c r="L45" i="10"/>
  <c r="D45" i="10"/>
  <c r="F66" i="10"/>
  <c r="G66" i="10"/>
  <c r="H66" i="10"/>
  <c r="I66" i="10"/>
  <c r="J66" i="10"/>
  <c r="K66" i="10"/>
  <c r="E66" i="10"/>
  <c r="F53" i="10"/>
  <c r="G53" i="10"/>
  <c r="H53" i="10"/>
  <c r="I53" i="10"/>
  <c r="J53" i="10"/>
  <c r="E53" i="10"/>
  <c r="D53" i="10"/>
  <c r="K67" i="10" l="1"/>
  <c r="E38" i="10" l="1"/>
  <c r="F61" i="10"/>
  <c r="G61" i="10"/>
  <c r="H61" i="10"/>
  <c r="I61" i="10"/>
  <c r="J61" i="10"/>
  <c r="K61" i="10"/>
  <c r="L61" i="10"/>
  <c r="E61" i="10"/>
  <c r="K72" i="10"/>
  <c r="K71" i="10"/>
  <c r="K70" i="10"/>
  <c r="K43" i="10"/>
  <c r="K44" i="10"/>
  <c r="K42" i="10"/>
  <c r="L63" i="10" l="1"/>
  <c r="L62" i="10"/>
  <c r="L59" i="10"/>
  <c r="K59" i="10"/>
  <c r="K58" i="10"/>
  <c r="K57" i="10"/>
  <c r="K56" i="10"/>
  <c r="K55" i="10"/>
  <c r="K54" i="10"/>
  <c r="L40" i="10"/>
  <c r="L39" i="10"/>
  <c r="L21" i="10" l="1"/>
  <c r="K21" i="10"/>
  <c r="K20" i="10"/>
  <c r="K19" i="10"/>
  <c r="K18" i="10"/>
  <c r="K17" i="10"/>
  <c r="G14" i="10" l="1"/>
  <c r="K16" i="10" l="1"/>
  <c r="K15" i="10" l="1"/>
  <c r="T69" i="10" l="1"/>
  <c r="S69" i="10"/>
  <c r="R69" i="10"/>
  <c r="Q69" i="10"/>
  <c r="P69" i="10"/>
  <c r="O69" i="10"/>
  <c r="N69" i="10"/>
  <c r="N65" i="10" s="1"/>
  <c r="M69" i="10"/>
  <c r="L69" i="10"/>
  <c r="K69" i="10"/>
  <c r="J69" i="10"/>
  <c r="I69" i="10"/>
  <c r="H69" i="10"/>
  <c r="G69" i="10"/>
  <c r="F69" i="10"/>
  <c r="E69" i="10"/>
  <c r="O65" i="10"/>
  <c r="R65" i="10" l="1"/>
  <c r="S65" i="10"/>
  <c r="F65" i="10"/>
  <c r="J65" i="10"/>
  <c r="D69" i="10"/>
  <c r="K65" i="10"/>
  <c r="G65" i="10"/>
  <c r="H65" i="10"/>
  <c r="L65" i="10"/>
  <c r="P65" i="10"/>
  <c r="T65" i="10"/>
  <c r="M65" i="10"/>
  <c r="Q65" i="10"/>
  <c r="I65" i="10"/>
  <c r="E65" i="10"/>
  <c r="F27" i="10"/>
  <c r="F24" i="10" s="1"/>
  <c r="G27" i="10"/>
  <c r="G24" i="10" s="1"/>
  <c r="H27" i="10"/>
  <c r="H24" i="10" s="1"/>
  <c r="I27" i="10"/>
  <c r="I24" i="10" s="1"/>
  <c r="J27" i="10"/>
  <c r="J24" i="10" s="1"/>
  <c r="K27" i="10"/>
  <c r="K24" i="10" s="1"/>
  <c r="L27" i="10"/>
  <c r="L24" i="10" s="1"/>
  <c r="M27" i="10"/>
  <c r="M24" i="10" s="1"/>
  <c r="N27" i="10"/>
  <c r="N24" i="10" s="1"/>
  <c r="O27" i="10"/>
  <c r="O24" i="10" s="1"/>
  <c r="P27" i="10"/>
  <c r="P24" i="10" s="1"/>
  <c r="Q27" i="10"/>
  <c r="Q24" i="10" s="1"/>
  <c r="R27" i="10"/>
  <c r="R24" i="10" s="1"/>
  <c r="S27" i="10"/>
  <c r="S24" i="10" s="1"/>
  <c r="T27" i="10"/>
  <c r="T24" i="10" s="1"/>
  <c r="E27" i="10"/>
  <c r="E24" i="10" s="1"/>
  <c r="M265" i="11" l="1"/>
  <c r="M264" i="11"/>
  <c r="M262" i="11" s="1"/>
  <c r="M259" i="11" s="1"/>
  <c r="M258" i="11" s="1"/>
  <c r="M263" i="11"/>
  <c r="N262" i="11"/>
  <c r="N259" i="11" s="1"/>
  <c r="N258" i="11" s="1"/>
  <c r="L262" i="11"/>
  <c r="L259" i="11" s="1"/>
  <c r="L258" i="11" s="1"/>
  <c r="K262" i="11"/>
  <c r="J262" i="11"/>
  <c r="J259" i="11" s="1"/>
  <c r="J258" i="11" s="1"/>
  <c r="I262" i="11"/>
  <c r="I259" i="11" s="1"/>
  <c r="I258" i="11" s="1"/>
  <c r="H262" i="11"/>
  <c r="H259" i="11" s="1"/>
  <c r="H258" i="11" s="1"/>
  <c r="G262" i="11"/>
  <c r="F262" i="11"/>
  <c r="F259" i="11" s="1"/>
  <c r="F258" i="11" s="1"/>
  <c r="E262" i="11"/>
  <c r="E259" i="11" s="1"/>
  <c r="K259" i="11"/>
  <c r="K258" i="11" s="1"/>
  <c r="G259" i="11"/>
  <c r="G258" i="11" s="1"/>
  <c r="M250" i="11"/>
  <c r="M249" i="11"/>
  <c r="M248" i="11"/>
  <c r="M247" i="11"/>
  <c r="M246" i="11"/>
  <c r="M245" i="11"/>
  <c r="J244" i="11"/>
  <c r="E244" i="11"/>
  <c r="M244" i="11" s="1"/>
  <c r="J243" i="11"/>
  <c r="E243" i="11"/>
  <c r="M243" i="11" s="1"/>
  <c r="J242" i="11"/>
  <c r="E242" i="11"/>
  <c r="M242" i="11" s="1"/>
  <c r="J241" i="11"/>
  <c r="E241" i="11"/>
  <c r="M241" i="11" s="1"/>
  <c r="M240" i="11"/>
  <c r="F240" i="11"/>
  <c r="J240" i="11" s="1"/>
  <c r="E240" i="11"/>
  <c r="M239" i="11"/>
  <c r="F239" i="11"/>
  <c r="J239" i="11" s="1"/>
  <c r="E239" i="11"/>
  <c r="M238" i="11"/>
  <c r="F238" i="11"/>
  <c r="J238" i="11" s="1"/>
  <c r="E238" i="11"/>
  <c r="M237" i="11"/>
  <c r="F237" i="11"/>
  <c r="J237" i="11" s="1"/>
  <c r="E237" i="11"/>
  <c r="M236" i="11"/>
  <c r="F236" i="11"/>
  <c r="J236" i="11" s="1"/>
  <c r="E236" i="11"/>
  <c r="M235" i="11"/>
  <c r="F235" i="11"/>
  <c r="J235" i="11" s="1"/>
  <c r="E235" i="11"/>
  <c r="M222" i="11"/>
  <c r="M221" i="11"/>
  <c r="M220" i="11"/>
  <c r="M219" i="11"/>
  <c r="M218" i="11"/>
  <c r="M217" i="11"/>
  <c r="M216" i="11"/>
  <c r="M215" i="11"/>
  <c r="M214" i="11"/>
  <c r="M209" i="11"/>
  <c r="K209" i="11"/>
  <c r="J209" i="11"/>
  <c r="L209" i="11" s="1"/>
  <c r="J208" i="11"/>
  <c r="L208" i="11" s="1"/>
  <c r="I208" i="11"/>
  <c r="M208" i="11" s="1"/>
  <c r="M207" i="11"/>
  <c r="K207" i="11"/>
  <c r="J207" i="11"/>
  <c r="L207" i="11" s="1"/>
  <c r="M206" i="11"/>
  <c r="K206" i="11"/>
  <c r="J206" i="11"/>
  <c r="L206" i="11" s="1"/>
  <c r="M205" i="11"/>
  <c r="K205" i="11"/>
  <c r="J205" i="11"/>
  <c r="L205" i="11" s="1"/>
  <c r="M204" i="11"/>
  <c r="K204" i="11"/>
  <c r="J204" i="11"/>
  <c r="L204" i="11" s="1"/>
  <c r="M203" i="11"/>
  <c r="K203" i="11"/>
  <c r="J203" i="11"/>
  <c r="L203" i="11" s="1"/>
  <c r="M202" i="11"/>
  <c r="K202" i="11"/>
  <c r="J202" i="11"/>
  <c r="L202" i="11" s="1"/>
  <c r="K201" i="11"/>
  <c r="J201" i="11"/>
  <c r="L201" i="11" s="1"/>
  <c r="I201" i="11"/>
  <c r="M201" i="11" s="1"/>
  <c r="N200" i="11"/>
  <c r="M200" i="11"/>
  <c r="N199" i="11"/>
  <c r="I199" i="11"/>
  <c r="M199" i="11" s="1"/>
  <c r="N198" i="11"/>
  <c r="M198" i="11"/>
  <c r="I198" i="11"/>
  <c r="N197" i="11"/>
  <c r="I197" i="11"/>
  <c r="M197" i="11" s="1"/>
  <c r="N196" i="11"/>
  <c r="I196" i="11"/>
  <c r="M196" i="11" s="1"/>
  <c r="N195" i="11"/>
  <c r="I195" i="11"/>
  <c r="M195" i="11" s="1"/>
  <c r="N194" i="11"/>
  <c r="M194" i="11"/>
  <c r="I194" i="11"/>
  <c r="N193" i="11"/>
  <c r="I193" i="11"/>
  <c r="M193" i="11" s="1"/>
  <c r="N192" i="11"/>
  <c r="M192" i="11"/>
  <c r="N191" i="11"/>
  <c r="M191" i="11"/>
  <c r="I191" i="11"/>
  <c r="N190" i="11"/>
  <c r="I190" i="11"/>
  <c r="M190" i="11" s="1"/>
  <c r="M189" i="11"/>
  <c r="M188" i="11"/>
  <c r="E187" i="11"/>
  <c r="E186" i="11"/>
  <c r="E185" i="11"/>
  <c r="E184" i="11"/>
  <c r="E183" i="11"/>
  <c r="E182" i="11"/>
  <c r="E181" i="11"/>
  <c r="E180" i="11"/>
  <c r="E142" i="11" s="1"/>
  <c r="E139" i="11" s="1"/>
  <c r="N179" i="11"/>
  <c r="M179" i="11"/>
  <c r="N178" i="11"/>
  <c r="M178" i="11"/>
  <c r="N177" i="11"/>
  <c r="M177" i="11"/>
  <c r="N176" i="11"/>
  <c r="M176" i="11"/>
  <c r="N175" i="11"/>
  <c r="M175" i="11"/>
  <c r="N174" i="11"/>
  <c r="M174" i="11"/>
  <c r="N173" i="11"/>
  <c r="M173" i="11"/>
  <c r="J172" i="11"/>
  <c r="I172" i="11"/>
  <c r="F172" i="11"/>
  <c r="E172" i="11"/>
  <c r="M171" i="11"/>
  <c r="J171" i="11"/>
  <c r="I171" i="11"/>
  <c r="F171" i="11"/>
  <c r="J170" i="11"/>
  <c r="I170" i="11"/>
  <c r="F170" i="11"/>
  <c r="E170" i="11"/>
  <c r="M169" i="11"/>
  <c r="J169" i="11"/>
  <c r="I169" i="11"/>
  <c r="F169" i="11"/>
  <c r="M168" i="11"/>
  <c r="J168" i="11"/>
  <c r="I168" i="11"/>
  <c r="F168" i="11"/>
  <c r="J167" i="11"/>
  <c r="I167" i="11"/>
  <c r="M167" i="11" s="1"/>
  <c r="F167" i="11"/>
  <c r="N166" i="11"/>
  <c r="I166" i="11"/>
  <c r="M166" i="11" s="1"/>
  <c r="N165" i="11"/>
  <c r="I165" i="11"/>
  <c r="M165" i="11" s="1"/>
  <c r="N164" i="11"/>
  <c r="M164" i="11"/>
  <c r="I164" i="11"/>
  <c r="N163" i="11"/>
  <c r="I163" i="11"/>
  <c r="M163" i="11" s="1"/>
  <c r="N162" i="11"/>
  <c r="M162" i="11"/>
  <c r="N161" i="11"/>
  <c r="M161" i="11"/>
  <c r="N160" i="11"/>
  <c r="M160" i="11"/>
  <c r="N159" i="11"/>
  <c r="M159" i="11"/>
  <c r="N158" i="11"/>
  <c r="M158" i="11"/>
  <c r="M157" i="11"/>
  <c r="M156" i="11"/>
  <c r="K156" i="11"/>
  <c r="I156" i="11"/>
  <c r="M155" i="11"/>
  <c r="M154" i="11"/>
  <c r="K154" i="11"/>
  <c r="I154" i="11"/>
  <c r="M153" i="11"/>
  <c r="M152" i="11"/>
  <c r="K152" i="11"/>
  <c r="I152" i="11"/>
  <c r="K151" i="11"/>
  <c r="M151" i="11" s="1"/>
  <c r="I151" i="11"/>
  <c r="K150" i="11"/>
  <c r="M150" i="11" s="1"/>
  <c r="I150" i="11"/>
  <c r="M149" i="11"/>
  <c r="K149" i="11"/>
  <c r="I149" i="11"/>
  <c r="K148" i="11"/>
  <c r="M148" i="11" s="1"/>
  <c r="I148" i="11"/>
  <c r="M147" i="11"/>
  <c r="K147" i="11"/>
  <c r="I147" i="11"/>
  <c r="K146" i="11"/>
  <c r="M146" i="11" s="1"/>
  <c r="I146" i="11"/>
  <c r="K145" i="11"/>
  <c r="M145" i="11" s="1"/>
  <c r="I145" i="11"/>
  <c r="K144" i="11"/>
  <c r="M144" i="11" s="1"/>
  <c r="I144" i="11"/>
  <c r="M143" i="11"/>
  <c r="K143" i="11"/>
  <c r="I143" i="11"/>
  <c r="H142" i="11"/>
  <c r="G142" i="11"/>
  <c r="G139" i="11" s="1"/>
  <c r="G12" i="11" s="1"/>
  <c r="C142" i="11"/>
  <c r="C139" i="11" s="1"/>
  <c r="H139" i="11"/>
  <c r="M134" i="11"/>
  <c r="M133" i="11"/>
  <c r="M132" i="11"/>
  <c r="M131" i="11"/>
  <c r="M130" i="11"/>
  <c r="M129" i="11"/>
  <c r="M128" i="11"/>
  <c r="M127" i="11"/>
  <c r="M126" i="11"/>
  <c r="M125" i="11"/>
  <c r="M124" i="11"/>
  <c r="M123" i="11"/>
  <c r="M122" i="11"/>
  <c r="M121" i="11"/>
  <c r="M120" i="11"/>
  <c r="M119" i="11"/>
  <c r="M118" i="11"/>
  <c r="M117" i="11"/>
  <c r="M116" i="11"/>
  <c r="M115" i="11"/>
  <c r="M114" i="11"/>
  <c r="M113" i="11"/>
  <c r="M112" i="11"/>
  <c r="M111" i="11"/>
  <c r="M110" i="11"/>
  <c r="M109" i="11"/>
  <c r="M108" i="11"/>
  <c r="M107" i="11"/>
  <c r="M106" i="11"/>
  <c r="M105" i="11"/>
  <c r="L104" i="11"/>
  <c r="J104" i="11"/>
  <c r="I104" i="11"/>
  <c r="M104" i="11" s="1"/>
  <c r="L103" i="11"/>
  <c r="J103" i="11"/>
  <c r="I103" i="11"/>
  <c r="K103" i="11" s="1"/>
  <c r="J102" i="11"/>
  <c r="L102" i="11" s="1"/>
  <c r="I102" i="11"/>
  <c r="M102" i="11" s="1"/>
  <c r="J101" i="11"/>
  <c r="L101" i="11" s="1"/>
  <c r="I101" i="11"/>
  <c r="M101" i="11" s="1"/>
  <c r="M100" i="11"/>
  <c r="M99" i="11"/>
  <c r="M98" i="11"/>
  <c r="M97" i="11"/>
  <c r="M96" i="11"/>
  <c r="L96" i="11"/>
  <c r="K96" i="11"/>
  <c r="M95" i="11"/>
  <c r="L95" i="11"/>
  <c r="K95" i="11"/>
  <c r="M94" i="11"/>
  <c r="L94" i="11"/>
  <c r="K94" i="11"/>
  <c r="M93" i="11"/>
  <c r="L93" i="11"/>
  <c r="K93" i="11"/>
  <c r="M92" i="11"/>
  <c r="L91" i="11"/>
  <c r="I91" i="11"/>
  <c r="M91" i="11" s="1"/>
  <c r="L87" i="11"/>
  <c r="K87" i="11"/>
  <c r="M87" i="11" s="1"/>
  <c r="J87" i="11"/>
  <c r="F87" i="11"/>
  <c r="M86" i="11"/>
  <c r="M85" i="11"/>
  <c r="M84" i="11"/>
  <c r="K83" i="11"/>
  <c r="J83" i="11"/>
  <c r="I83" i="11"/>
  <c r="M83" i="11" s="1"/>
  <c r="K82" i="11"/>
  <c r="J82" i="11"/>
  <c r="I82" i="11"/>
  <c r="M82" i="11" s="1"/>
  <c r="K81" i="11"/>
  <c r="I81" i="11"/>
  <c r="M81" i="11" s="1"/>
  <c r="M80" i="11"/>
  <c r="N79" i="11"/>
  <c r="M79" i="11"/>
  <c r="K78" i="11"/>
  <c r="M78" i="11" s="1"/>
  <c r="I78" i="11"/>
  <c r="K77" i="11"/>
  <c r="M77" i="11" s="1"/>
  <c r="I77" i="11"/>
  <c r="M76" i="11"/>
  <c r="K76" i="11"/>
  <c r="I76" i="11"/>
  <c r="K75" i="11"/>
  <c r="M75" i="11" s="1"/>
  <c r="I75" i="11"/>
  <c r="K74" i="11"/>
  <c r="M74" i="11" s="1"/>
  <c r="I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N23" i="11"/>
  <c r="N18" i="11" s="1"/>
  <c r="M23" i="11"/>
  <c r="M22" i="11"/>
  <c r="M21" i="11"/>
  <c r="J21" i="11"/>
  <c r="F21" i="11"/>
  <c r="M20" i="11"/>
  <c r="N19" i="11"/>
  <c r="M19" i="11"/>
  <c r="H18" i="11"/>
  <c r="G18" i="11"/>
  <c r="G14" i="11" s="1"/>
  <c r="E18" i="11"/>
  <c r="C18" i="11"/>
  <c r="M17" i="11"/>
  <c r="M16" i="11"/>
  <c r="M15" i="11"/>
  <c r="N15" i="11" s="1"/>
  <c r="H14" i="11"/>
  <c r="E14" i="11"/>
  <c r="C14" i="11"/>
  <c r="H12" i="11"/>
  <c r="N11" i="11"/>
  <c r="M11" i="11"/>
  <c r="L11" i="11"/>
  <c r="K11" i="11"/>
  <c r="J11" i="11"/>
  <c r="I11" i="11"/>
  <c r="H11" i="11"/>
  <c r="G11" i="11"/>
  <c r="F11" i="11"/>
  <c r="E11" i="11"/>
  <c r="C11" i="11"/>
  <c r="D10" i="11"/>
  <c r="C10" i="11"/>
  <c r="D9" i="11"/>
  <c r="C13" i="11" l="1"/>
  <c r="C9" i="11" s="1"/>
  <c r="C12" i="11"/>
  <c r="J142" i="11"/>
  <c r="J139" i="11" s="1"/>
  <c r="J12" i="11" s="1"/>
  <c r="K91" i="11"/>
  <c r="H13" i="11"/>
  <c r="I18" i="11"/>
  <c r="I14" i="11" s="1"/>
  <c r="L18" i="11"/>
  <c r="L14" i="11" s="1"/>
  <c r="I142" i="11"/>
  <c r="I139" i="11" s="1"/>
  <c r="I12" i="11" s="1"/>
  <c r="N168" i="11"/>
  <c r="N169" i="11"/>
  <c r="M170" i="11"/>
  <c r="N171" i="11"/>
  <c r="M172" i="11"/>
  <c r="J18" i="11"/>
  <c r="J14" i="11" s="1"/>
  <c r="F18" i="11"/>
  <c r="F14" i="11" s="1"/>
  <c r="K101" i="11"/>
  <c r="K104" i="11"/>
  <c r="N167" i="11"/>
  <c r="N170" i="11"/>
  <c r="N142" i="11" s="1"/>
  <c r="N139" i="11" s="1"/>
  <c r="N12" i="11" s="1"/>
  <c r="N172" i="11"/>
  <c r="I10" i="11"/>
  <c r="F10" i="11"/>
  <c r="E12" i="11"/>
  <c r="E13" i="11"/>
  <c r="L142" i="11"/>
  <c r="L139" i="11" s="1"/>
  <c r="L12" i="11" s="1"/>
  <c r="J13" i="11"/>
  <c r="J9" i="11" s="1"/>
  <c r="J10" i="11"/>
  <c r="L10" i="11"/>
  <c r="G13" i="11"/>
  <c r="G9" i="11" s="1"/>
  <c r="G10" i="11"/>
  <c r="N14" i="11"/>
  <c r="H9" i="11"/>
  <c r="M142" i="11"/>
  <c r="M139" i="11" s="1"/>
  <c r="M12" i="11" s="1"/>
  <c r="E258" i="11"/>
  <c r="E10" i="11"/>
  <c r="K102" i="11"/>
  <c r="F142" i="11"/>
  <c r="F139" i="11" s="1"/>
  <c r="F12" i="11" s="1"/>
  <c r="K208" i="11"/>
  <c r="K142" i="11" s="1"/>
  <c r="K139" i="11" s="1"/>
  <c r="K12" i="11" s="1"/>
  <c r="M103" i="11"/>
  <c r="M18" i="11" s="1"/>
  <c r="M14" i="11" s="1"/>
  <c r="H10" i="11"/>
  <c r="L13" i="11" l="1"/>
  <c r="L9" i="11" s="1"/>
  <c r="I13" i="11"/>
  <c r="I9" i="11" s="1"/>
  <c r="K18" i="11"/>
  <c r="K14" i="11" s="1"/>
  <c r="K13" i="11" s="1"/>
  <c r="K9" i="11" s="1"/>
  <c r="M10" i="11"/>
  <c r="M13" i="11"/>
  <c r="M9" i="11" s="1"/>
  <c r="N10" i="11"/>
  <c r="N13" i="11"/>
  <c r="N9" i="11" s="1"/>
  <c r="E9" i="11"/>
  <c r="F13" i="11"/>
  <c r="F9" i="11" s="1"/>
  <c r="K10" i="11" l="1"/>
  <c r="T38" i="10" l="1"/>
  <c r="S38" i="10"/>
  <c r="R38" i="10"/>
  <c r="Q38" i="10"/>
  <c r="P38" i="10"/>
  <c r="O38" i="10"/>
  <c r="N38" i="10"/>
  <c r="M38" i="10"/>
  <c r="L38" i="10"/>
  <c r="I38" i="10"/>
  <c r="H38" i="10"/>
  <c r="T36" i="10"/>
  <c r="S36" i="10"/>
  <c r="R36" i="10"/>
  <c r="Q36" i="10"/>
  <c r="P36" i="10"/>
  <c r="O36" i="10"/>
  <c r="N36" i="10"/>
  <c r="M36" i="10"/>
  <c r="L36" i="10"/>
  <c r="K36" i="10"/>
  <c r="J36" i="10"/>
  <c r="I36" i="10"/>
  <c r="H36" i="10"/>
  <c r="G36" i="10"/>
  <c r="F36" i="10"/>
  <c r="E36" i="10"/>
  <c r="L33" i="10"/>
  <c r="L31" i="10" s="1"/>
  <c r="K33" i="10"/>
  <c r="K31" i="10" s="1"/>
  <c r="J33" i="10"/>
  <c r="J31" i="10" s="1"/>
  <c r="I33" i="10"/>
  <c r="I31" i="10" s="1"/>
  <c r="H33" i="10"/>
  <c r="H31" i="10" s="1"/>
  <c r="G33" i="10"/>
  <c r="G31" i="10" s="1"/>
  <c r="F33" i="10"/>
  <c r="E33" i="10"/>
  <c r="D33" i="10" s="1"/>
  <c r="T31" i="10"/>
  <c r="S31" i="10"/>
  <c r="R31" i="10"/>
  <c r="Q31" i="10"/>
  <c r="P31" i="10"/>
  <c r="O31" i="10"/>
  <c r="N31" i="10"/>
  <c r="M31" i="10"/>
  <c r="T29" i="10"/>
  <c r="S29" i="10"/>
  <c r="R29" i="10"/>
  <c r="R26" i="10" s="1"/>
  <c r="Q29" i="10"/>
  <c r="Q26" i="10" s="1"/>
  <c r="P29" i="10"/>
  <c r="O29" i="10"/>
  <c r="N29" i="10"/>
  <c r="N26" i="10" s="1"/>
  <c r="M29" i="10"/>
  <c r="M26" i="10" s="1"/>
  <c r="L29" i="10"/>
  <c r="L26" i="10" s="1"/>
  <c r="K29" i="10"/>
  <c r="K26" i="10" s="1"/>
  <c r="J29" i="10"/>
  <c r="J26" i="10" s="1"/>
  <c r="I29" i="10"/>
  <c r="I26" i="10" s="1"/>
  <c r="H29" i="10"/>
  <c r="H26" i="10" s="1"/>
  <c r="G29" i="10"/>
  <c r="G26" i="10" s="1"/>
  <c r="F29" i="10"/>
  <c r="F26" i="10" s="1"/>
  <c r="E29" i="10"/>
  <c r="E26" i="10" s="1"/>
  <c r="G13" i="10"/>
  <c r="T14" i="10"/>
  <c r="T13" i="10" s="1"/>
  <c r="S14" i="10"/>
  <c r="S13" i="10" s="1"/>
  <c r="R14" i="10"/>
  <c r="R13" i="10" s="1"/>
  <c r="Q14" i="10"/>
  <c r="Q13" i="10" s="1"/>
  <c r="P14" i="10"/>
  <c r="P13" i="10" s="1"/>
  <c r="O14" i="10"/>
  <c r="O13" i="10" s="1"/>
  <c r="N14" i="10"/>
  <c r="N13" i="10" s="1"/>
  <c r="M14" i="10"/>
  <c r="M13" i="10" s="1"/>
  <c r="I14" i="10"/>
  <c r="I13" i="10" s="1"/>
  <c r="H14" i="10"/>
  <c r="H13" i="10" s="1"/>
  <c r="F14" i="10"/>
  <c r="F13" i="10" s="1"/>
  <c r="E14" i="10"/>
  <c r="D36" i="10" l="1"/>
  <c r="F31" i="10"/>
  <c r="F23" i="10" s="1"/>
  <c r="F25" i="10"/>
  <c r="T25" i="10"/>
  <c r="T26" i="10"/>
  <c r="T23" i="10" s="1"/>
  <c r="P25" i="10"/>
  <c r="P26" i="10"/>
  <c r="P23" i="10" s="1"/>
  <c r="O25" i="10"/>
  <c r="O26" i="10"/>
  <c r="O23" i="10" s="1"/>
  <c r="S25" i="10"/>
  <c r="S26" i="10"/>
  <c r="S23" i="10" s="1"/>
  <c r="E25" i="10"/>
  <c r="Q25" i="10"/>
  <c r="J25" i="10"/>
  <c r="D26" i="10"/>
  <c r="N23" i="10"/>
  <c r="R23" i="10"/>
  <c r="M25" i="10"/>
  <c r="R25" i="10"/>
  <c r="L25" i="10"/>
  <c r="N25" i="10"/>
  <c r="M23" i="10"/>
  <c r="F38" i="10"/>
  <c r="F35" i="10" s="1"/>
  <c r="J23" i="10"/>
  <c r="L23" i="10"/>
  <c r="I35" i="10"/>
  <c r="T35" i="10"/>
  <c r="M35" i="10"/>
  <c r="Q35" i="10"/>
  <c r="J38" i="10"/>
  <c r="J35" i="10" s="1"/>
  <c r="O35" i="10"/>
  <c r="S35" i="10"/>
  <c r="H35" i="10"/>
  <c r="G25" i="10"/>
  <c r="K25" i="10"/>
  <c r="Q23" i="10"/>
  <c r="E35" i="10"/>
  <c r="P35" i="10"/>
  <c r="H25" i="10"/>
  <c r="D14" i="10"/>
  <c r="N35" i="10"/>
  <c r="R35" i="10"/>
  <c r="K38" i="10"/>
  <c r="K35" i="10" s="1"/>
  <c r="I23" i="10"/>
  <c r="I25" i="10"/>
  <c r="H23" i="10"/>
  <c r="L35" i="10"/>
  <c r="G38" i="10"/>
  <c r="G35" i="10" s="1"/>
  <c r="K14" i="10"/>
  <c r="J14" i="10"/>
  <c r="J13" i="10" s="1"/>
  <c r="G23" i="10"/>
  <c r="K23" i="10"/>
  <c r="E31" i="10"/>
  <c r="E13" i="10"/>
  <c r="R12" i="10" l="1"/>
  <c r="H12" i="10"/>
  <c r="T12" i="10"/>
  <c r="P12" i="10"/>
  <c r="D25" i="10"/>
  <c r="N12" i="10"/>
  <c r="S12" i="10"/>
  <c r="I12" i="10"/>
  <c r="M12" i="10"/>
  <c r="F12" i="10"/>
  <c r="Q12" i="10"/>
  <c r="K13" i="10"/>
  <c r="K12" i="10" s="1"/>
  <c r="O12" i="10"/>
  <c r="J12" i="10"/>
  <c r="D35" i="10"/>
  <c r="G12" i="10"/>
  <c r="D13" i="10"/>
  <c r="D31" i="10"/>
  <c r="E23" i="10"/>
  <c r="D23" i="10" s="1"/>
  <c r="L14" i="10" l="1"/>
  <c r="L13" i="10" s="1"/>
  <c r="L12" i="10" s="1"/>
  <c r="E12" i="10"/>
  <c r="D12" i="10" s="1"/>
</calcChain>
</file>

<file path=xl/sharedStrings.xml><?xml version="1.0" encoding="utf-8"?>
<sst xmlns="http://schemas.openxmlformats.org/spreadsheetml/2006/main" count="458" uniqueCount="334">
  <si>
    <t>Số TT</t>
  </si>
  <si>
    <t>Tổng số dự án</t>
  </si>
  <si>
    <t>Số dự án</t>
  </si>
  <si>
    <t xml:space="preserve">Tổng mức đầu tư được duyệt hoặc điều chỉnh lần cuối của dự án </t>
  </si>
  <si>
    <t>Tổng số</t>
  </si>
  <si>
    <t>Giá trị  quyết toán được duyệt (nếu có)</t>
  </si>
  <si>
    <t>Vốn đã giải ngân</t>
  </si>
  <si>
    <t>I</t>
  </si>
  <si>
    <t>II</t>
  </si>
  <si>
    <t>III</t>
  </si>
  <si>
    <t>NGƯỜI LẬP BIỂU</t>
  </si>
  <si>
    <t>Đơn vị: tỷ đồng.</t>
  </si>
  <si>
    <t>Dự án hoàn thành các năm trước</t>
  </si>
  <si>
    <t>Dự án hoàn thành trong năm báo cáo</t>
  </si>
  <si>
    <t>Thẩm tra</t>
  </si>
  <si>
    <t>Phê duyệt</t>
  </si>
  <si>
    <t>Dự án đã hoàn thành, chưa nộp quyết toán (1+2)</t>
  </si>
  <si>
    <t>A</t>
  </si>
  <si>
    <t>B</t>
  </si>
  <si>
    <t>Dự án do cấp tỉnh quản lý</t>
  </si>
  <si>
    <t>Dự án do cấp huyện quản lý</t>
  </si>
  <si>
    <t>Dự án do cấp xã quản lý</t>
  </si>
  <si>
    <t>Dự án hoàn thành ở địa phương theo phân cấp quản lý (1 +2 +3)</t>
  </si>
  <si>
    <t>Tổng số dự án hoàn thành (I+II+III)</t>
  </si>
  <si>
    <t>Chưa nộp hồ sơ quyết toán</t>
  </si>
  <si>
    <t>a</t>
  </si>
  <si>
    <t>b</t>
  </si>
  <si>
    <t>c</t>
  </si>
  <si>
    <t>Vi phạm quy định về thời gian quyết toán</t>
  </si>
  <si>
    <t>Dự án đã được phê duyệt quyết toán (1+2)</t>
  </si>
  <si>
    <t>Dự án đã nộp hồ sơ quyết toán quyết toán, chưa được phê duyệt (1+2)</t>
  </si>
  <si>
    <t>3=4+12</t>
  </si>
  <si>
    <t>Trong thời gian quyết toán theo quy định</t>
  </si>
  <si>
    <t>Giá trị quyết toán được duyệt (nếu có)</t>
  </si>
  <si>
    <t xml:space="preserve"> - Ở địa phương, báo cáo gồm tất cả các dự án đầu tư công hoàn thành thuộc thẩm quyền quản lý của cấp tỉnh, cấp huyện và cấp xã. Phòng Tài chính - Kế hoạch cấp huyện tổng hợp toàn bộ dự án đầu tư công hoàn thành gồm dự án do cấp huyện quản lý và dự án do cấp xã thuộc huyện quản lý gửi Sở Tài chính cấp tỉnh để tổng hợp và gửi cơ quan được giao chủ trì tổng hợp báo cáo do Ủy ban nhân dân cấp tỉnh phân công. </t>
  </si>
  <si>
    <t xml:space="preserve"> - Các bộ, cơ quan trung ương, tập đoàn, tổng công ty nhà nước, Ủy ban nhân dân cấp tỉnh gửi báo cáo tình hình quyết toán vốn đầu tư công dự án hoàn thành trong năm do đơn vị mình quản lý đến Bộ Tài chính.</t>
  </si>
  <si>
    <t>Nội dung</t>
  </si>
  <si>
    <t>Giá trị đề nghị quyết toán hoặc giá trị khối lượng hoàn thành được nghiệm thu</t>
  </si>
  <si>
    <t>Vốn đầu  tư công còn lại phải bố trí đến thời điểm báo cáo so với giá trị quyết toán được duyệt hoặc giá trị đề nghị quyết toán hoặc giá trị khối lượng hoàn thành được nghiệm thu</t>
  </si>
  <si>
    <t>Giá trị chủ đầu tư đề nghị quyết toán hoặc giá trị khối lượng hoàn thành được nghiệm thu</t>
  </si>
  <si>
    <t>Trong đó: ngân sách trung ương</t>
  </si>
  <si>
    <t>-</t>
  </si>
  <si>
    <r>
      <rPr>
        <b/>
        <sz val="11"/>
        <color theme="1"/>
        <rFont val="Times New Roman"/>
        <family val="1"/>
      </rPr>
      <t>Ghi chú</t>
    </r>
    <r>
      <rPr>
        <sz val="11"/>
        <color theme="1"/>
        <rFont val="Times New Roman"/>
        <family val="1"/>
      </rPr>
      <t xml:space="preserve">: </t>
    </r>
  </si>
  <si>
    <t>Đường GTNT xóm Quyết Tiến - Na Đầm - Thẩm Cuốn</t>
  </si>
  <si>
    <t>Đường nội đồng Pác Máng, xã Định Biên</t>
  </si>
  <si>
    <t>Đường nội đồng Đồng Lốc - Đồng Diều, xã Định Biên</t>
  </si>
  <si>
    <t>Đường nội đồng xóm Bản Quyên, xóm Bắc Doọc, xã Điềm Mặc</t>
  </si>
  <si>
    <t>Đường nội thôn xóm Thanh Xuân, xã Thanh Định</t>
  </si>
  <si>
    <t>Đường nội đồng xóm Trung Tâm (giai đoạn 2), xã Thanh Định</t>
  </si>
  <si>
    <t>Nâng cấp đường nội thôn Bản Cải xã Kim Phượng</t>
  </si>
  <si>
    <t>Đường giao thông vào nghĩa trang xóm Khấu Bảo, xã Bảo Cường</t>
  </si>
  <si>
    <t>Đường nội đồng Đồng Mười, xã Bảo Cường</t>
  </si>
  <si>
    <t>Đường nội thôn Đồng Vượng, xã Bình Thành</t>
  </si>
  <si>
    <t>Đường nội thôn Làng Đầm, xã Bình Thành</t>
  </si>
  <si>
    <t>Kênh mương thôn Na Rao, xã Bình Thành</t>
  </si>
  <si>
    <t>Đường nội thôn xóm Hội Tiến, xã Bộc Nhiêu</t>
  </si>
  <si>
    <t>Nhà văn hóa xóm Chú 1, xã Bộc Nhiêu</t>
  </si>
  <si>
    <t>Nhà văn hóa xóm Chú 2, xã Bộc Nhiêu</t>
  </si>
  <si>
    <t>Nhà văn hóa xóm Rịn, xã Bộc Nhiêu</t>
  </si>
  <si>
    <t>Nhà văn hóa xóm Bục, xã Bộc Nhiêu</t>
  </si>
  <si>
    <t>Nhà văn hóa xóm Dạo, xã Bộc Nhiêu</t>
  </si>
  <si>
    <t>Nhà văn hóa xóm Lạc Nhiêu, xã Bộc Nhiêu</t>
  </si>
  <si>
    <t>Nhà văn hóa xóm Bục Việt, xã Bộc Nhiêu</t>
  </si>
  <si>
    <t>Đường nội thôn xóm Trung Tâm, xã Bộc Nhiêu</t>
  </si>
  <si>
    <t>Đường nội thôn xóm Minh Tiến, xã Bộc Nhiêu</t>
  </si>
  <si>
    <t>Đường nội thôn xóm Rịn, xã Bộc Nhiêu</t>
  </si>
  <si>
    <t>Kênh mương xóm Rịn, xã Bộc Nhiêu</t>
  </si>
  <si>
    <t>Nguyễn Khắc Trung</t>
  </si>
  <si>
    <t>Đơn vị: tỷ đồng</t>
  </si>
  <si>
    <t>Tổng số dự án, nhóm dự án</t>
  </si>
  <si>
    <t>Thời gian khởi công - hoàn thành</t>
  </si>
  <si>
    <t>Vốn kế hoạch đã bố trí đến thời điểm báo cáo</t>
  </si>
  <si>
    <t>Trong đó ngân sách trung ương</t>
  </si>
  <si>
    <t>Tổng số (A+B)</t>
  </si>
  <si>
    <t>Dự án đã được phê duyệt quyết toán (A.I + B.I)</t>
  </si>
  <si>
    <t>Dự án đã nộp hồ sơ quyết toán quyết toán chưa được phê duyệt  (A.II + B.II)</t>
  </si>
  <si>
    <t>Dự án đã hoàn thành, chưa nộp quyết toán (A.III + B.III)</t>
  </si>
  <si>
    <t>Dự án đã được phê duyệt quyết toán</t>
  </si>
  <si>
    <t>Dự án…</t>
  </si>
  <si>
    <t>Các dự án thuộc Chương trình mục tiêu quốc gia</t>
  </si>
  <si>
    <t xml:space="preserve">Dự án đã nộp hồ sơ quyết toán quyết toán chưa được phê duyệt </t>
  </si>
  <si>
    <t>Dự án đã hoàn thành, chưa nộp quyết toán</t>
  </si>
  <si>
    <t xml:space="preserve"> - Cột 3, 5, 13: Các dòng theo số thứ tự I, II, III và 3 ghi tổng số dự án; các dòng theo số thứ tự 1, 2 ghi chi tiết nhóm dự án (quan trọng quốc gia, A, B, C).</t>
  </si>
  <si>
    <t xml:space="preserve"> - Danh mục dự án sử dụng vốn ngân sách trung ương theo đúng danh mục dự án được Thủ tướng Chính phủ giao trong kế hoạch đầu tư công trung hạn giai đoạn 05 năm.</t>
  </si>
  <si>
    <t>BÁO CÁO CHI TIẾT CÁC DỰ ÁN SỬ DỤNG VỐN NGÂN SÁCH TRUNG ƯƠNG HOÀN THÀNH NĂM 2022, HUYỆN ĐỊNH HÓA</t>
  </si>
  <si>
    <r>
      <t xml:space="preserve"> - Số liệu báo cáo của đơn vị được tổng hợp từ tất cả các </t>
    </r>
    <r>
      <rPr>
        <b/>
        <sz val="10"/>
        <color theme="1"/>
        <rFont val="Times New Roman"/>
        <family val="1"/>
      </rPr>
      <t>dự án đầu tư công</t>
    </r>
    <r>
      <rPr>
        <sz val="10"/>
        <color theme="1"/>
        <rFont val="Times New Roman"/>
        <family val="1"/>
      </rPr>
      <t xml:space="preserve"> (gồm nhiệm vụ, dự án, dự án thành phần, tiểu dự án hoàn thành có quyết định phê duyệt riêng) có sử dụng </t>
    </r>
    <r>
      <rPr>
        <b/>
        <sz val="10"/>
        <color theme="1"/>
        <rFont val="Times New Roman"/>
        <family val="1"/>
      </rPr>
      <t>một phần hoặc toàn bộ</t>
    </r>
    <r>
      <rPr>
        <sz val="10"/>
        <color theme="1"/>
        <rFont val="Times New Roman"/>
        <family val="1"/>
      </rPr>
      <t xml:space="preserve"> vốn ngân sách trung ương hoàn thành do đơn vị mình quản lý. Không tổng hợp báo cáo công trình, hạng mục công trình độc lập hoàn thành.  </t>
    </r>
  </si>
  <si>
    <r>
      <t xml:space="preserve"> - Các dự án hoàn thành thuộc Chương trình mục tiêu Quốc gia: Chỉ báo cáo tổng số dự án có sử dụng (</t>
    </r>
    <r>
      <rPr>
        <b/>
        <sz val="10"/>
        <color theme="1"/>
        <rFont val="Times New Roman"/>
        <family val="1"/>
      </rPr>
      <t>một phần hoặc toàn bộ</t>
    </r>
    <r>
      <rPr>
        <sz val="10"/>
        <color theme="1"/>
        <rFont val="Times New Roman"/>
        <family val="1"/>
      </rPr>
      <t>) vốn ngân sách trung ương, theo thứ tự: (i). Chương trình mục tiêu quốc gia xây dựng nông thôn mới; (ii). Chương trình mục tiêu quốc gia giảm nghèo bền vững; (iii). Chương trình mục tiêu quốc gia phát triển kinh tế - xã hội vùng đồng bào dân tộc và thiểu số.</t>
    </r>
  </si>
  <si>
    <t>SĐT liên hệ: 0977.364.665</t>
  </si>
  <si>
    <r>
      <t xml:space="preserve">ỦY BAN NHÂN DÂN
</t>
    </r>
    <r>
      <rPr>
        <b/>
        <u/>
        <sz val="11"/>
        <color theme="1"/>
        <rFont val="Times New Roman"/>
        <family val="1"/>
      </rPr>
      <t>HUYỆN ĐỊNH HÓA</t>
    </r>
  </si>
  <si>
    <t>(Kèm theo Công văn số          /UBND-TCKH ngày     /01/2022 của UBND huyện Định Hóa)</t>
  </si>
  <si>
    <t>Đường liên xóm Thịnh Mỹ 1, Thịnh Mỹ 2, Thịnh Mỹ 3 xã Tân Thịnh, huyện Định Hóa</t>
  </si>
  <si>
    <t>2017-2018</t>
  </si>
  <si>
    <t>Đường nội thôn Hội Tiến, xã Bộc Nhiêu</t>
  </si>
  <si>
    <t>Đường nội thôn xóm Thẩm Chè xã Bộc Nhiêu</t>
  </si>
  <si>
    <t>Đường nội thôn xóm Rịn 3 xã Bộc Nhiêu</t>
  </si>
  <si>
    <t>Đường nội thôn xóm Rịn 1 xã Bộc Nhiêu</t>
  </si>
  <si>
    <t>Đường nội thôn xóm Rịn 2 xã Bộc Nhiêu</t>
  </si>
  <si>
    <t>Đường nội thôn Minh Tiến (giai đoạn 2), xã Bộc Nhiêu</t>
  </si>
  <si>
    <t>Đường liên xóm Kim Tiến - Nam Cơ (giai đoạn 2) xã Kim Phượng, huyện Định Hóa</t>
  </si>
  <si>
    <t>Đường nội đồng Đèo Tọt (giai đoạn 2) xã Đồng Thịnh, huyện Định Hóa</t>
  </si>
  <si>
    <t>Đường nội đồng Đồng Làn, xã Đồng Thịnh, huyện Định Hóa</t>
  </si>
  <si>
    <t>Đường nội đồng Khuân Ca, xã Đồng Thịnh, huyện Định Hóa</t>
  </si>
  <si>
    <t>Đường GTNT An Thịnh, xã Đồng Thịnh, huyện Định Hóa</t>
  </si>
  <si>
    <t>Kênh mương nội đồng Làng Bèn, xã Đồng Thịnh, huyện Định Hóa</t>
  </si>
  <si>
    <t>Đường GTNT xóm Nà Lang xã Phượng Tiến</t>
  </si>
  <si>
    <t>Duy tu, sửa chữa công trình cấp nước sinh hoạt tập trung xóm Trung Tâm, xóm Thanh Trung xã Thanh Định</t>
  </si>
  <si>
    <t>2021-2022</t>
  </si>
  <si>
    <t>Nâng cấp mặt sân và mương thoát nước sân vận động Kim Sơn, xã Kim Phượng</t>
  </si>
  <si>
    <t>Sửa chữa, nâng cấp nhà văn hóa xóm Nam Cơ, xã Kim Phượng</t>
  </si>
  <si>
    <t>Sửa chữa, nâng cấp nhà văn hóa xóm Thái Chi, xã Kim Phượng</t>
  </si>
  <si>
    <t>Sửa chữa, nâng cấp nhà văn hóa xóm Kim Tân, xã Kim Phượng</t>
  </si>
  <si>
    <t>Đường nội thôn Bản Mới, xã Kim Phượng</t>
  </si>
  <si>
    <t>Nhà văn hóa xóm Ao Sen, xã Kim Phượng</t>
  </si>
  <si>
    <t>Sửa chữa, nâng cấp nhà văn hóa xóm Bản Ngói, xã Kim Phượng</t>
  </si>
  <si>
    <t>Đường nội đồng xóm Bản Lác, xã Kim Phượng</t>
  </si>
  <si>
    <t>Nhà văn hóa xóm Bản Kết, xã Kim Phượng</t>
  </si>
  <si>
    <t>Nhà văn hóa xóm Kim Tiến, xã Kim Phượng</t>
  </si>
  <si>
    <t>Nhà văn hóa xóm Đồng Đình, xã Kim Phượng</t>
  </si>
  <si>
    <t>Nhà văn hóa xóm Bản Cải, xã Kim Phượng</t>
  </si>
  <si>
    <t>Sửa chữa, nâng cấp nhà văn hóa xóm Phai Đá, xã Kim Phượng</t>
  </si>
  <si>
    <t>Sửa chữa, nâng cấp nhà văn hóa xóm Bản Mới, xã Kim Phượng</t>
  </si>
  <si>
    <t>Kênh mương Đồng Đa - Đồng Chúa xóm Kim Tiến, xã Kim Phượng</t>
  </si>
  <si>
    <t>Kênh mương Pác Mương - Tồng Kệt xóm Kim Tiến, xã Kim Phượng</t>
  </si>
  <si>
    <t>Sửa chữa, nâng cấp nhà văn hóa xóm Cạm Phước, xã Kim Phượng</t>
  </si>
  <si>
    <t>Hồ chứa nước Đèo Phượng xã Linh Thông, huyện Định Hóa</t>
  </si>
  <si>
    <t>2018-2020</t>
  </si>
  <si>
    <t>Đường GTNT xóm Văn La 1, xã Lam Vỹ</t>
  </si>
  <si>
    <t>Đường GTNT xóm Văn La 2, xã Lam Vỹ</t>
  </si>
  <si>
    <t>Kênh mương Nà Mùi 2, xã Phú Đình</t>
  </si>
  <si>
    <t>Đường nội đồng Chợ Bảo Hoa - Đồi Quất, xã Bảo Linh</t>
  </si>
  <si>
    <t>Đường nội đồng Nạ Chú xóm Bảo Biên, xã Bảo Linh</t>
  </si>
  <si>
    <t>Kênh mương Suối Háo xóm Khuổi Chao, xã Bảo Linh</t>
  </si>
  <si>
    <t>Đường nội đồng Đồi Trại xóm Bảo Biên, xã Bảo Linh</t>
  </si>
  <si>
    <t>Đường GTNT liên xóm Bản Lác - Đèo Bỏn xã Kim Phượng</t>
  </si>
  <si>
    <t>Kênh mương xóm Phúc Tiến - Pác Mạy - Cây Sung, xã Phú Tiến</t>
  </si>
  <si>
    <t>Đường GTNT xóm Tân Tiến - xóm Đồng Tiến xã Phú Tiến</t>
  </si>
  <si>
    <t>Đường GTNT xóm Thái Trung, xã Quy Kỳ</t>
  </si>
  <si>
    <t>Đường GTNT xóm Khuân Câm (giai đoạn 2), xã Quy Kỳ</t>
  </si>
  <si>
    <t>Đường GTNT xóm Thống Nhất 2, xã Quy Kỳ</t>
  </si>
  <si>
    <t>Đường GTNT Thẩm Vậy - Khang Hạ (gđ 2), xã Bình Yên</t>
  </si>
  <si>
    <t>Đường GTNT xóm Làng Ngõa (gđ 2), xã Tân Thịnh</t>
  </si>
  <si>
    <t>Đường GTNT vào lò đốt rác xã Tân Thịnh</t>
  </si>
  <si>
    <t>Đường nội thôn xóm Thanh Phong (giai đoạn 2), xã Thanh Định</t>
  </si>
  <si>
    <t>Kênh mương Đồng Ỏ Làng Mới, xã Phúc Chu</t>
  </si>
  <si>
    <t>Kênh mương nội đồng Nà Giường Làng Gày, xã Phúc Chu</t>
  </si>
  <si>
    <t>Kênh mương Nà Cúm Nà Lom, xã Phúc Chu</t>
  </si>
  <si>
    <t>Đường nội đồng Nà Lom, xã Phúc Chu</t>
  </si>
  <si>
    <t>Kênh mương Khuổi Nang, xóm Đồng Đình, xã Phúc Chu</t>
  </si>
  <si>
    <t>Kênh mương Lằng Cay - Quan Mộc, xã Bảo Cường</t>
  </si>
  <si>
    <t xml:space="preserve"> </t>
  </si>
  <si>
    <t>Đường GTNT xóm Phú Hội, xã Sơn Phú</t>
  </si>
  <si>
    <t>Kênh mương nội đồng Đồng Toạng, Đồng Rằm (giai đoạn 3), xã Định Biên</t>
  </si>
  <si>
    <t>Đường nội thôn Làng Quặng - Gốc Sâu (giai đoạn 3), xã Định Biên</t>
  </si>
  <si>
    <t>Đường GTNT xóm Trung tâm, xóm Đồng Lá 1, xã Điềm Mặc</t>
  </si>
  <si>
    <t>Điểm thu gom rác thải tại 02 xóm, xã Bộc Nhiêu</t>
  </si>
  <si>
    <t>Đường liên xóm Tràng - xóm Kèn Dương, xã Tân Dương</t>
  </si>
  <si>
    <t>Đường GTNT xóm Tân Hợp - xóm Coóc (giai đoạn 3), xã Tân Dương</t>
  </si>
  <si>
    <t>Đường xóm Coóc đi xóm Nà Lang, xã Phượng Tiến</t>
  </si>
  <si>
    <t>Đường vào trường THCS Phú Đình</t>
  </si>
  <si>
    <t>2019-202</t>
  </si>
  <si>
    <t>Đường GTNT Cầu Đá, xã Trung Lương</t>
  </si>
  <si>
    <t>Đường giao thông Quang Vinh, xã Trung Lương</t>
  </si>
  <si>
    <t>Đường giao thông xóm Hòa Lịch, xã Trung Lương</t>
  </si>
  <si>
    <t>Đường nội đồng xóm Quyết Tâm, xã Trung Lương</t>
  </si>
  <si>
    <t>Đường giao thông Hồng Văn Lương, xã Trung Lương</t>
  </si>
  <si>
    <t>Đường GTNT xóm Bản Màn (giai đoạn 3), xã Tân Thịnh</t>
  </si>
  <si>
    <t>Đường GTNT xóm Làng Dạ, xã Tân Thịnh</t>
  </si>
  <si>
    <t>Mở rộng đường trục chính xóm Làng Mố, xã Trung Hội</t>
  </si>
  <si>
    <t>Đường GTNT xóm Quán Vuông 2, xã Trung Hội</t>
  </si>
  <si>
    <t>Đường nội đồng xóm Thành Vượng, xã Bình Thành</t>
  </si>
  <si>
    <t>Kênh mương xóm Thành Vượng, xã Bình Thành</t>
  </si>
  <si>
    <t>Kênh mương xóm Hồng Thái, xã Bình Thành</t>
  </si>
  <si>
    <t>Đường nội đồng xóm Đầm Thị, xã Bình Thành</t>
  </si>
  <si>
    <t>Đường GTNT Cốc Móc, xã Linh Thông</t>
  </si>
  <si>
    <t>Đường GTNT Bản Chang, xã Linh Thông</t>
  </si>
  <si>
    <t>Đường GTNT Tân Vàng, xã Linh Thông</t>
  </si>
  <si>
    <t>Đường GTNT Nà Mỵ, xã Linh Thông</t>
  </si>
  <si>
    <t>Đài tưởng niệm các anh hùng liệt sỹ xã Bộc Nhiêu</t>
  </si>
  <si>
    <t>Nhà lớp học 3 tầng 9 phòng trường tiểu học Bình Thành</t>
  </si>
  <si>
    <t>Nhà lớp học 2 tầng 10 phòng trường Tiểu học Đồng Thịnh</t>
  </si>
  <si>
    <t>Sửa chữa, nâng cấp Nhà văn hóa xóm Trung Tâm, xã Bộc Nhiêu, huyện Định Hóa</t>
  </si>
  <si>
    <t>Sửa chữa, nâng cấp Nhà văn hóa xóm Hợp Tiến, xã Bộc Nhiêu, huyện Định Hóa</t>
  </si>
  <si>
    <t>Sửa chữa, nâng cấp Nhà văn hóa xóm Minh Tiến, xã Bộc Nhiêu, huyện Định Hóa</t>
  </si>
  <si>
    <t>Đường GTNT Làng Mới xã Phúc Chu đi xóm Làng Chùa xã Bảo Cường, huyện Định Hóa</t>
  </si>
  <si>
    <t>Đường trục thôn Nà Linh - Cốc Lùng (giai đoạn I) xã Bảo Cường, huyện Định Hóa</t>
  </si>
  <si>
    <t>Nhà văn hóa xóm Văn La 1 xã Lam Vỹ</t>
  </si>
  <si>
    <t>Nhà văn hóa xóm Văn La 2 xã Lam Vỹ</t>
  </si>
  <si>
    <t>Nhà văn hóa xóm Làng Cỏ xã Lam Vỹ</t>
  </si>
  <si>
    <t>Nhà văn hóa xóm Tam Hợp xã Lam Vỹ</t>
  </si>
  <si>
    <t>Nhà văn hóa xóm Đoàn Kết xã Lam Vỹ</t>
  </si>
  <si>
    <t>Nhà văn hóa xóm Nà Toán xã Lam Vỹ</t>
  </si>
  <si>
    <t>Nhà văn hóa xóm Nà Làng xã Lam Vỹ</t>
  </si>
  <si>
    <t>Nhà văn hóa xóm Bình Sơn xã Lam Vỹ</t>
  </si>
  <si>
    <t>Sửa chữa nhà văn hoá xóm Làng Há xã Lam Vỹ</t>
  </si>
  <si>
    <t>Đường GTNT xóm Tam Hợp xã Lam Vỹ</t>
  </si>
  <si>
    <t>Sửa chữa kênh bê tông xóm Bình Sơn xã Lam Vỹ</t>
  </si>
  <si>
    <t>Nhà văn hóa xóm Bản Hin</t>
  </si>
  <si>
    <t>Nhà văn hóa xóm Làng Phẩy</t>
  </si>
  <si>
    <t>Nhà văn hóa xóm Phú Hội</t>
  </si>
  <si>
    <t>Nhà văn hóa xóm Bản Giáo</t>
  </si>
  <si>
    <t xml:space="preserve">Nâng cấp đường GTNT  xóm Bản Cải (giai đoạn 2)xã Kim Phượng </t>
  </si>
  <si>
    <t>Nâng cấp, mở rộng đường GTNT từ QL 3C lên SVĐ xóm Kim Sơn, xã Kim Phượng</t>
  </si>
  <si>
    <t xml:space="preserve">Nâng cấp, mở rộng đường liên xóm  Kim Sơn  xóm Đồng Đình, xã Kim Phượng </t>
  </si>
  <si>
    <t xml:space="preserve">Kênh mương Bản Lác - Bản Lanh - Bản Ngói, xã Kim Phượng </t>
  </si>
  <si>
    <t>Nhà văn hoá xóm Kim Sơn, xã Kim Phượng</t>
  </si>
  <si>
    <t>Đường nội đồng xóm Khuân Ca ( giai đoạn 2), xã Đồng Thịnh</t>
  </si>
  <si>
    <t>Đường GTNT An Thịnh ( giai đoạn 2), xã Đồng Thịnh</t>
  </si>
  <si>
    <t>Đường nội đồng xóm Đèo Tọt , xã Đồng Thịnh</t>
  </si>
  <si>
    <t>Kênh mương nội đồng Khuân Ca</t>
  </si>
  <si>
    <t>Đường nội đồng xóm Đình Phỉnh, xã Phượng Tiến</t>
  </si>
  <si>
    <t>Đường nội thôn xóm Pải, xã Phượng Tiến</t>
  </si>
  <si>
    <t>Kênh mương nội thôn xóm Nà Lang, xã Phượng Tiến</t>
  </si>
  <si>
    <t>Kênh mương nội đồng xóm Lợi B, xã Phượng Tiến</t>
  </si>
  <si>
    <t>Kênh mương nội đồng xóm Cấm, xã Phượng Tiến</t>
  </si>
  <si>
    <t>Kênh mương theo đường xóm Cấm, xã Phượng Tiến</t>
  </si>
  <si>
    <t>Sửa chữa, nâng cấp nhà văn hóa xóm Đồn, xã Bình Thành</t>
  </si>
  <si>
    <t>Sửa chữa, nâng cấp nhà văn hóa xóm Phố, xã Bình Thành</t>
  </si>
  <si>
    <t>Nhà văn hóa xóm Vũ Hồng, xã Bình Thành</t>
  </si>
  <si>
    <t>Nhà văn hóa xóm Làng Luông, xã Bình Thành</t>
  </si>
  <si>
    <t>Nhà văn hóa xóm Hồng Thái, xã Bình Thành</t>
  </si>
  <si>
    <t>Nhà văn hóa xóm Bình Tiến, xã Bình Thành</t>
  </si>
  <si>
    <t>Nhà văn hóa xóm Đồng Cóoc, xã Bình Thành</t>
  </si>
  <si>
    <t>2019-2020</t>
  </si>
  <si>
    <t>Nhà văn hóa xóm Đồng Tiến, xã Phú Tiến</t>
  </si>
  <si>
    <t>Nhà văn hóa xóm Lương Tiến, xã Phú Tiến</t>
  </si>
  <si>
    <t>Nhà văn hóa xóm Hợp Tiến, xã Phú Tiến</t>
  </si>
  <si>
    <t>Nhà văn hóa xóm Phúc Tiến, xã Phú Tiến</t>
  </si>
  <si>
    <t>Nhà văn hóa xóm Tân Tiến, xã Phú Tiến</t>
  </si>
  <si>
    <t>Nhà văn hóa xóm Quyết Tiến, xã Phú Tiến</t>
  </si>
  <si>
    <t>Đường GTNT xóm Quyết Tiến - Hồ Căm Húc xã Phú Tiến</t>
  </si>
  <si>
    <t>Đường GTNT xóm Hợp Tiến - Khuối Hỏi xã Phú Tiến</t>
  </si>
  <si>
    <t xml:space="preserve"> -</t>
  </si>
  <si>
    <t>Đường nội đồng xóm Bảo Biên xã Bảo Linh</t>
  </si>
  <si>
    <t>Đường nội đồng xóm  Quế Linhxã Bảo Linh</t>
  </si>
  <si>
    <t>Nhà văn hóa xóm Thống Nhất 2 xã Quy Kỳ</t>
  </si>
  <si>
    <t>Nhà văn hóa xóm Khuổi Tát xã Quy Kỳ.</t>
  </si>
  <si>
    <t>Nhà văn hóa xóm Đăng Mò, xã Quy Kỳ</t>
  </si>
  <si>
    <t>Nhà văn hóa xóm Hương Bảo 2 xã Quy Kỳ</t>
  </si>
  <si>
    <t>Nhà văn hóa xóm Gốc Hồng, xã Quy Kỳ</t>
  </si>
  <si>
    <t>Đường Nội đồng xóm Hương Bảo 3, xã Quy Kỳ</t>
  </si>
  <si>
    <t>Đường GTNT xóm Hương Bảo 1, xã Quy Kỳ</t>
  </si>
  <si>
    <t>Đường nội đồng xóm Đăng Mò, xã Quy Kỳ</t>
  </si>
  <si>
    <t>Đường nội đồng xóm Khuân Câm, xã Quy Kỳ</t>
  </si>
  <si>
    <t>Đường nội đồng xóm Thái Trung, xã Quy Kỳ</t>
  </si>
  <si>
    <t>Kênh Mương xóm Thống Nhất 2( giai đoạn 2) xã Quy Kỳ</t>
  </si>
  <si>
    <t>Kênh mương xóm Làng Ngõa (giai đoạn 2), xã Tân Thịnh</t>
  </si>
  <si>
    <t>Đường GTNT xóm Khau Lang, xã Tân Thịnh</t>
  </si>
  <si>
    <t>Nhà văn hóa xóm Đồng Muồng, xã Tân Thịnh</t>
  </si>
  <si>
    <t>Nhà văn hóa xóm Bản Màn, xã Tân Thịnh</t>
  </si>
  <si>
    <t>Nhà văn hóa xóm Làng Đúc, xã Tân Thịnh</t>
  </si>
  <si>
    <t>Nhà văn hóa xóm Làng Ngõa, xã Tân Thịnh</t>
  </si>
  <si>
    <t>Nhà văn hóa xóm Thịnh Mỹ, xã Tân Thịnh</t>
  </si>
  <si>
    <t>Đường GTNT xóm Làng Đúc (giai đoạn 2), xã Tân Thịnh</t>
  </si>
  <si>
    <t>Đường GTNT xóm Thịnh Mỹ, xã Tân Thịnh</t>
  </si>
  <si>
    <t xml:space="preserve">Đường nội đồng Đồng Đình, xã Phúc Chu </t>
  </si>
  <si>
    <t xml:space="preserve">Kênh mương nội đồng Làng Hoèn, xã Phúc Chu </t>
  </si>
  <si>
    <t xml:space="preserve">Kênh mương Đồng Tạng,xóm Đồng Đình, xã Phúc Chu </t>
  </si>
  <si>
    <t xml:space="preserve">Kênh mương Đồng Rịa, xóm Nà Lom, xã Phúc Chu </t>
  </si>
  <si>
    <t>Xây dựng mới nhà văn hóa xóm Nong Nia</t>
  </si>
  <si>
    <t>Xây dựng mới nhà văn hóa xóm Khau Lầu</t>
  </si>
  <si>
    <t>Xây dựng mới nhà văn hóa xóm Đồng Rằm</t>
  </si>
  <si>
    <t>Xây dựng mới nhà văn hóa xóm Gốc Thông</t>
  </si>
  <si>
    <t>Xây dựng mới nhà văn hóa xóm Nà To</t>
  </si>
  <si>
    <t>Cải tạo, nâng cấp nhà văn hóa xóm Làng Quặng</t>
  </si>
  <si>
    <t>Cải tạo, nâng cấp nhà văn hóa xóm Khau Diều</t>
  </si>
  <si>
    <t>Cải tạo, nâng cấp nhà văn hóa xóm Làng Vẹ</t>
  </si>
  <si>
    <t>Cải tạo, nâng cấp nhà văn hóa xóm Đồng Đau</t>
  </si>
  <si>
    <t>Nhà văn hoá xóm Bản Bắc 1, xã Điềm Mặc</t>
  </si>
  <si>
    <t>Nhà văn hoá xóm Bản Bắc 2, xã Điềm Mặc</t>
  </si>
  <si>
    <t>Nhà văn hoá xóm Đồng Lá  1, xã Điềm Mặc</t>
  </si>
  <si>
    <t>Nhà văn hoá xóm Đồng Lá  2, xã Điềm Mặc</t>
  </si>
  <si>
    <t>Nhà văn hoá xóm Đồng Vinh xã Điềm Mặc</t>
  </si>
  <si>
    <t>Nhà văn hoá xóm Song Thái xã Điềm Mặc</t>
  </si>
  <si>
    <t>Nhà văn hoá xóm Bắc Doọc xã Điềm Mặc</t>
  </si>
  <si>
    <t>Nhà văn hoá xóm Trung Tâm xã Điềm Mặc</t>
  </si>
  <si>
    <t>Nhà văn hoá xóm Bình Nguyên xã Điềm Mặc</t>
  </si>
  <si>
    <t>Đường GTNT xóm Bắc Doọc, xã Điềm Mặc</t>
  </si>
  <si>
    <t>Đường GTNT xóm Phụng Hiển, xã Điềm Mặc</t>
  </si>
  <si>
    <t>Đường nội đồng xóm Đồng Lá 2, xã Điềm Mặc</t>
  </si>
  <si>
    <t>Nhà văn hóa xóm Tân Tiến 1, xã Tân Dương</t>
  </si>
  <si>
    <t>Nhà văn hóa xóm Hợp Thành, xã Tân Dương</t>
  </si>
  <si>
    <t>Nhà văn hóa xóm Tân Tiến 3, xã Tân Dương</t>
  </si>
  <si>
    <t>Nhà văn hóa xóm Tân Tiến 4, xã Tân Dương</t>
  </si>
  <si>
    <t>Nhà văn hóa xóm Làng Bẩy, xã Tân Dương</t>
  </si>
  <si>
    <t>Nhà Văn hóa xóm Làng Cóoc, xã Tân Dương</t>
  </si>
  <si>
    <t>Đường nội đồng Tân Tiến 3, xã Tân Dương</t>
  </si>
  <si>
    <t>Đường nội đồng Tân Tiến 4, xã Tân Dương</t>
  </si>
  <si>
    <t>Đường GTNT xóm Tân Tiến 4- Tân Tiến 3 xã Tân Dương</t>
  </si>
  <si>
    <t>Đường nội đồng Làng Bẩy, xã Tân Dương</t>
  </si>
  <si>
    <t>Đường giao thông xóm Vũ Lương xã Trung Lương</t>
  </si>
  <si>
    <t>Đường giao thông xóm Cầu Đá xã Trung Lương</t>
  </si>
  <si>
    <t>Duy tu sửa chữa đường giao thông xóm Cầu Đá xã Trung Lương</t>
  </si>
  <si>
    <t>Cải tạo sửa chữa nâng cấp nhà bia ghi tên liệt sỹ xã Trung Lương</t>
  </si>
  <si>
    <t>Đường GTNT xóm Bản Chang, xã Linh Thông</t>
  </si>
  <si>
    <t>Đường GTNT xóm Nà Chú, xã Linh Thông</t>
  </si>
  <si>
    <t>Đường GTNT xóm Linh Sơn, xã Linh Thông</t>
  </si>
  <si>
    <t>Đường GTNT xóm Bản Vèn, xã Linh Thông</t>
  </si>
  <si>
    <t>Kênh nội đồng xóm Nà Chát, xã Linh Thông</t>
  </si>
  <si>
    <t>Kênh nội đồng xóm Nà Mỵ, xã Linh Thông</t>
  </si>
  <si>
    <t>Kênh nội đồng xóm Cốc Móc, xã Linh Thông</t>
  </si>
  <si>
    <t>CĐT</t>
  </si>
  <si>
    <t xml:space="preserve">Tên chủ đầu tư
Tên công trình, dự án
Năm thực hiện:
Năm quyết toán: </t>
  </si>
  <si>
    <t>Đề nghị dán băng dính trắng mặt ngoài trước khi bấm ghim để đỡ bị bay màu chữ.</t>
  </si>
  <si>
    <t>Nhãn công trình quyết toán</t>
  </si>
  <si>
    <t>Cải tạo, nâng cấp nhà làm việc hai tầng - UBND xã Trung Hội</t>
  </si>
  <si>
    <t>UBND xã Trung Hội</t>
  </si>
  <si>
    <t>Đường GTNT xóm Hợp Thành, xã Trung Hội</t>
  </si>
  <si>
    <t>Cải tạo nâng cấp Nhà văn hóa xóm Trung Tâm, xã Trung Hội</t>
  </si>
  <si>
    <t>Cải tạo nâng cấp Nhà văn hóa xóm Thống Nhất, xã Trung Hội</t>
  </si>
  <si>
    <t>Cải tạo nâng cấp Nhà văn hóa xóm Làng Mố, xã Trung Hội</t>
  </si>
  <si>
    <t>Nhà văn hóa xóm Hợp Thành, xã Trung Hội</t>
  </si>
  <si>
    <t>Đường nội đồng xóm Quán Vuông 2, xã Trung Hội</t>
  </si>
  <si>
    <t>ỦY BAN NHÂN DÂN
XÃ TRUNG HỘI</t>
  </si>
  <si>
    <t>Nhà mái vòm trường Mầm non Trung Hội và cải tạo, nâng cấp cổng, biển trường điểm trung tâm trường Mầm non Trung Hội</t>
  </si>
  <si>
    <t xml:space="preserve">Nhà để xe của giáo viên và nhà để xe của học sinh trường THCS Trung Hội.  </t>
  </si>
  <si>
    <t>Nâng cấp cổng trường và lát nền bổ sung sân trường tiểu học Trung Hội</t>
  </si>
  <si>
    <t>TỔNG HỢP BÁO CÁO TÌNH HÌNH QUYẾT TOÁN VỐN ĐẦU TƯ CÔNG DỰ ÁN HOÀN THÀNH NĂM 2024</t>
  </si>
  <si>
    <t xml:space="preserve">Nhà văn hóa xóm Đoàn Kết 2, xã Trung Hội </t>
  </si>
  <si>
    <t>Cải tạo, nâng cấp nhà văn hoá xóm Quán Vuông 4, xã Trung Hội .</t>
  </si>
  <si>
    <t>Mở rộng đường GTNT xóm Thống Nhất, xã Trung Hội.</t>
  </si>
  <si>
    <t>1.1</t>
  </si>
  <si>
    <t>1.2</t>
  </si>
  <si>
    <t>1.3</t>
  </si>
  <si>
    <t>1.4</t>
  </si>
  <si>
    <t>1.5</t>
  </si>
  <si>
    <t>1.6</t>
  </si>
  <si>
    <t>1.7</t>
  </si>
  <si>
    <t>2.1</t>
  </si>
  <si>
    <t>2.2</t>
  </si>
  <si>
    <t>2.3</t>
  </si>
  <si>
    <t>2.4</t>
  </si>
  <si>
    <t>2.5</t>
  </si>
  <si>
    <t>2.6</t>
  </si>
  <si>
    <t>(Kèm theo báo cáo số  15 /BC-UBND ngày  06 /01/2023 của UBND xã Trung Hội)</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</si>
</sst>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
    <numFmt numFmtId="165" formatCode="_(* #,##0.0_);_(* \(#,##0.0\);_(* &quot;-&quot;??_);_(@_)"/>
    <numFmt numFmtId="166" formatCode="_(* #,##0_);_(* \(#,##0\);_(* &quot;-&quot;??_);_(@_)"/>
    <numFmt numFmtId="167" formatCode="0.000"/>
    <numFmt numFmtId="168" formatCode="0.00000"/>
    <numFmt numFmtId="169" formatCode="_(* #,##0.0_);_(* \(#,##0.0\);_(* &quot;-&quot;?_);_(@_)"/>
    <numFmt numFmtId="170" formatCode="_(* #,##0.000_);_(* \(#,##0.000\);_(* &quot;-&quot;??_);_(@_)"/>
    <numFmt numFmtId="171" formatCode="0.0000"/>
    <numFmt numFmtId="172" formatCode="_(* #,##0.0000_);_(* \(#,##0.0000\);_(* &quot;-&quot;??_);_(@_)"/>
    <numFmt numFmtId="173" formatCode="_(* #,##0.0000000_);_(* \(#,##0.0000000\);_(* &quot;-&quot;??_);_(@_)"/>
    <numFmt numFmtId="174" formatCode="_(* #,##0.00000_);_(* \(#,##0.00000\);_(* &quot;-&quot;??_);_(@_)"/>
  </numFmts>
  <fonts count="20">
    <font>
      <sz val="11"/>
      <color theme="1"/>
      <name val="Calibri"/>
      <family val="2"/>
      <charset val="163"/>
      <scheme val="minor"/>
    </font>
    <font>
      <sz val="11"/>
      <color theme="1"/>
      <name val="Calibri"/>
      <family val="2"/>
      <scheme val="minor"/>
    </font>
    <font>
      <sz val="11"/>
      <color theme="1"/>
      <name val="Calibri"/>
      <family val="2"/>
      <charset val="163"/>
      <scheme val="minor"/>
    </font>
    <font>
      <sz val="11"/>
      <color theme="1"/>
      <name val="Times New Roman"/>
      <family val="1"/>
    </font>
    <font>
      <b/>
      <sz val="11"/>
      <color theme="1"/>
      <name val="Times New Roman"/>
      <family val="1"/>
    </font>
    <font>
      <i/>
      <sz val="11"/>
      <color theme="1"/>
      <name val="Times New Roman"/>
      <family val="1"/>
    </font>
    <font>
      <b/>
      <sz val="8"/>
      <color theme="1"/>
      <name val="Times New Roman"/>
      <family val="1"/>
    </font>
    <font>
      <sz val="8"/>
      <color theme="1"/>
      <name val="Times New Roman"/>
      <family val="1"/>
    </font>
    <font>
      <sz val="10"/>
      <color theme="1"/>
      <name val="Times New Roman"/>
      <family val="1"/>
    </font>
    <font>
      <i/>
      <sz val="12"/>
      <color theme="1"/>
      <name val="Times New Roman"/>
      <family val="1"/>
    </font>
    <font>
      <b/>
      <sz val="12"/>
      <color theme="1"/>
      <name val="Times New Roman"/>
      <family val="1"/>
    </font>
    <font>
      <sz val="10"/>
      <color theme="1"/>
      <name val="Calibri"/>
      <family val="2"/>
      <charset val="163"/>
      <scheme val="minor"/>
    </font>
    <font>
      <b/>
      <u/>
      <sz val="11"/>
      <color theme="1"/>
      <name val="Times New Roman"/>
      <family val="1"/>
    </font>
    <font>
      <b/>
      <sz val="10"/>
      <color theme="1"/>
      <name val="Times New Roman"/>
      <family val="1"/>
    </font>
    <font>
      <sz val="12"/>
      <name val=".VnTime"/>
      <family val="2"/>
    </font>
    <font>
      <b/>
      <i/>
      <sz val="12"/>
      <color theme="1"/>
      <name val="Times New Roman"/>
      <family val="1"/>
    </font>
    <font>
      <sz val="11"/>
      <color theme="1"/>
      <name val="Times New Roman"/>
      <family val="1"/>
      <charset val="1"/>
    </font>
    <font>
      <i/>
      <sz val="10"/>
      <color theme="1"/>
      <name val="Times New Roman"/>
      <family val="1"/>
    </font>
    <font>
      <b/>
      <i/>
      <sz val="11"/>
      <color theme="1"/>
      <name val="Times New Roman"/>
      <family val="1"/>
    </font>
    <font>
      <b/>
      <i/>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hair">
        <color indexed="8"/>
      </top>
      <bottom/>
      <diagonal/>
    </border>
  </borders>
  <cellStyleXfs count="5">
    <xf numFmtId="0" fontId="0" fillId="0" borderId="0"/>
    <xf numFmtId="43" fontId="2" fillId="0" borderId="0" applyFont="0" applyFill="0" applyBorder="0" applyAlignment="0" applyProtection="0"/>
    <xf numFmtId="0" fontId="2" fillId="0" borderId="0"/>
    <xf numFmtId="0" fontId="1" fillId="0" borderId="0"/>
    <xf numFmtId="0" fontId="14" fillId="0" borderId="0"/>
  </cellStyleXfs>
  <cellXfs count="263">
    <xf numFmtId="0" fontId="0" fillId="0" borderId="0" xfId="0"/>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quotePrefix="1"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horizontal="center" wrapText="1"/>
    </xf>
    <xf numFmtId="43" fontId="3" fillId="0" borderId="1" xfId="1" applyFont="1" applyBorder="1" applyAlignment="1">
      <alignment horizontal="center" vertical="center" wrapText="1"/>
    </xf>
    <xf numFmtId="165" fontId="3" fillId="0" borderId="1" xfId="1" applyNumberFormat="1" applyFont="1" applyBorder="1" applyAlignment="1">
      <alignment horizontal="center" vertical="center" wrapText="1"/>
    </xf>
    <xf numFmtId="165" fontId="3"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66" fontId="4"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6" fontId="3" fillId="0" borderId="1" xfId="1"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5" fontId="4" fillId="0" borderId="1" xfId="1" applyNumberFormat="1" applyFont="1" applyBorder="1" applyAlignment="1">
      <alignment horizontal="center" vertical="center" wrapText="1"/>
    </xf>
    <xf numFmtId="165" fontId="5" fillId="0" borderId="1" xfId="1" applyNumberFormat="1" applyFont="1" applyBorder="1" applyAlignment="1">
      <alignment horizontal="center" vertical="center" wrapText="1"/>
    </xf>
    <xf numFmtId="165" fontId="3" fillId="0" borderId="1" xfId="1" applyNumberFormat="1" applyFont="1" applyBorder="1" applyAlignment="1">
      <alignment horizontal="right" vertical="center" wrapText="1"/>
    </xf>
    <xf numFmtId="165" fontId="0" fillId="2" borderId="1" xfId="1"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165" fontId="13"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64" fontId="8" fillId="2" borderId="10" xfId="1" applyNumberFormat="1" applyFont="1" applyFill="1" applyBorder="1" applyAlignment="1">
      <alignment horizontal="center" vertical="center" wrapText="1"/>
    </xf>
    <xf numFmtId="164" fontId="8" fillId="0" borderId="10" xfId="0" applyNumberFormat="1" applyFont="1" applyBorder="1" applyAlignment="1">
      <alignment horizontal="center" vertical="center" wrapText="1"/>
    </xf>
    <xf numFmtId="0" fontId="8" fillId="2" borderId="10" xfId="0"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10" xfId="4"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43" fontId="8" fillId="0" borderId="1" xfId="1" applyFont="1" applyBorder="1" applyAlignment="1">
      <alignment horizontal="center" vertical="center" wrapText="1"/>
    </xf>
    <xf numFmtId="165" fontId="8" fillId="0" borderId="1" xfId="1"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9" fontId="8" fillId="0" borderId="1"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vertical="center" wrapText="1"/>
    </xf>
    <xf numFmtId="2" fontId="8"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43"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64" fontId="8" fillId="0" borderId="9" xfId="0" applyNumberFormat="1" applyFont="1" applyBorder="1" applyAlignment="1">
      <alignment horizontal="right" vertical="center" wrapText="1"/>
    </xf>
    <xf numFmtId="164" fontId="8" fillId="0" borderId="7" xfId="0" applyNumberFormat="1" applyFont="1" applyBorder="1" applyAlignment="1">
      <alignment horizontal="right" vertical="center" wrapText="1"/>
    </xf>
    <xf numFmtId="0" fontId="8" fillId="0" borderId="9" xfId="4" applyFont="1" applyBorder="1" applyAlignment="1">
      <alignment horizontal="center" vertical="center" wrapText="1"/>
    </xf>
    <xf numFmtId="164" fontId="8" fillId="0" borderId="9"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167" fontId="3" fillId="0" borderId="1" xfId="0" applyNumberFormat="1" applyFont="1" applyBorder="1" applyAlignment="1">
      <alignment horizontal="right" wrapText="1"/>
    </xf>
    <xf numFmtId="164" fontId="8" fillId="0" borderId="7" xfId="0" applyNumberFormat="1" applyFont="1" applyBorder="1" applyAlignment="1">
      <alignment horizontal="center" vertical="center" wrapText="1"/>
    </xf>
    <xf numFmtId="165" fontId="8" fillId="2" borderId="1" xfId="1" applyNumberFormat="1" applyFont="1" applyFill="1" applyBorder="1" applyAlignment="1">
      <alignment horizontal="center" vertical="center" wrapText="1"/>
    </xf>
    <xf numFmtId="0" fontId="8" fillId="0" borderId="1" xfId="2" applyFont="1" applyBorder="1" applyAlignment="1">
      <alignment horizontal="left" vertical="center" wrapText="1"/>
    </xf>
    <xf numFmtId="0" fontId="3" fillId="0" borderId="1" xfId="0" applyFont="1" applyBorder="1" applyAlignment="1">
      <alignment horizontal="right"/>
    </xf>
    <xf numFmtId="167" fontId="3" fillId="0" borderId="1" xfId="2" applyNumberFormat="1" applyFont="1" applyBorder="1" applyAlignment="1">
      <alignment horizontal="center" vertical="center" wrapText="1"/>
    </xf>
    <xf numFmtId="167" fontId="3" fillId="2" borderId="1" xfId="2" applyNumberFormat="1" applyFont="1" applyFill="1" applyBorder="1" applyAlignment="1">
      <alignment horizontal="center" vertical="center" wrapText="1"/>
    </xf>
    <xf numFmtId="0" fontId="8" fillId="3" borderId="1" xfId="0" applyFont="1" applyFill="1" applyBorder="1" applyAlignment="1">
      <alignment vertical="center" wrapText="1"/>
    </xf>
    <xf numFmtId="0" fontId="8" fillId="0" borderId="1" xfId="0" applyFont="1" applyBorder="1" applyAlignment="1">
      <alignment vertical="center"/>
    </xf>
    <xf numFmtId="166" fontId="8" fillId="2" borderId="1" xfId="1" applyNumberFormat="1" applyFont="1" applyFill="1" applyBorder="1" applyAlignment="1">
      <alignment horizontal="left"/>
    </xf>
    <xf numFmtId="166" fontId="8" fillId="2" borderId="1" xfId="1" applyNumberFormat="1" applyFont="1" applyFill="1" applyBorder="1" applyAlignment="1"/>
    <xf numFmtId="166" fontId="8" fillId="2" borderId="1" xfId="1" applyNumberFormat="1" applyFont="1" applyFill="1" applyBorder="1" applyAlignment="1">
      <alignment horizontal="left" vertical="center"/>
    </xf>
    <xf numFmtId="166" fontId="8" fillId="2" borderId="1" xfId="1" applyNumberFormat="1" applyFont="1" applyFill="1" applyBorder="1" applyAlignment="1">
      <alignment horizontal="left" vertical="center" wrapText="1"/>
    </xf>
    <xf numFmtId="4" fontId="8" fillId="0" borderId="1" xfId="1" applyNumberFormat="1" applyFont="1" applyBorder="1" applyAlignment="1">
      <alignment horizontal="center" vertical="center" wrapText="1"/>
    </xf>
    <xf numFmtId="0" fontId="13" fillId="0" borderId="0" xfId="0" applyFont="1" applyAlignment="1">
      <alignment horizontal="center" vertical="center" wrapText="1"/>
    </xf>
    <xf numFmtId="0" fontId="8" fillId="2" borderId="8" xfId="0" applyFont="1" applyFill="1" applyBorder="1" applyAlignment="1">
      <alignment horizontal="left" vertical="center" wrapText="1"/>
    </xf>
    <xf numFmtId="170" fontId="8" fillId="2" borderId="1" xfId="1" applyNumberFormat="1" applyFont="1" applyFill="1" applyBorder="1" applyAlignment="1">
      <alignment horizontal="center" vertical="center" wrapText="1"/>
    </xf>
    <xf numFmtId="172" fontId="8" fillId="2" borderId="1" xfId="1" applyNumberFormat="1" applyFont="1" applyFill="1" applyBorder="1" applyAlignment="1">
      <alignment horizontal="center" vertical="center" wrapText="1"/>
    </xf>
    <xf numFmtId="171"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0" fontId="8" fillId="0" borderId="1" xfId="0" applyFont="1" applyBorder="1" applyAlignment="1">
      <alignment horizontal="left" vertical="center"/>
    </xf>
    <xf numFmtId="167" fontId="8" fillId="0" borderId="1" xfId="0" applyNumberFormat="1" applyFont="1" applyBorder="1" applyAlignment="1">
      <alignment horizontal="right" wrapText="1"/>
    </xf>
    <xf numFmtId="0" fontId="8" fillId="0" borderId="1" xfId="0" applyFont="1" applyBorder="1" applyAlignment="1">
      <alignment horizontal="center" wrapText="1"/>
    </xf>
    <xf numFmtId="0" fontId="8" fillId="0" borderId="1" xfId="0" applyFont="1" applyBorder="1" applyAlignment="1">
      <alignment horizontal="right"/>
    </xf>
    <xf numFmtId="0" fontId="8" fillId="0" borderId="1" xfId="0" applyFont="1" applyBorder="1" applyAlignment="1">
      <alignment horizontal="right" wrapText="1"/>
    </xf>
    <xf numFmtId="165" fontId="8" fillId="0" borderId="1" xfId="1" applyNumberFormat="1" applyFont="1" applyBorder="1" applyAlignment="1">
      <alignment horizontal="right" wrapText="1"/>
    </xf>
    <xf numFmtId="165" fontId="8" fillId="0" borderId="1" xfId="1" applyNumberFormat="1" applyFont="1" applyBorder="1" applyAlignment="1">
      <alignment horizontal="center" wrapText="1"/>
    </xf>
    <xf numFmtId="165" fontId="8" fillId="0" borderId="8" xfId="1" applyNumberFormat="1" applyFont="1" applyBorder="1" applyAlignment="1">
      <alignment horizontal="center" vertical="center" wrapText="1"/>
    </xf>
    <xf numFmtId="0" fontId="8" fillId="2" borderId="1" xfId="0" applyFont="1" applyFill="1" applyBorder="1" applyAlignment="1">
      <alignment horizontal="left" vertical="center" wrapText="1"/>
    </xf>
    <xf numFmtId="2" fontId="8" fillId="0" borderId="9" xfId="0" applyNumberFormat="1" applyFont="1" applyBorder="1" applyAlignment="1">
      <alignment horizontal="center" vertical="center" wrapText="1"/>
    </xf>
    <xf numFmtId="0" fontId="8" fillId="0" borderId="8" xfId="0" applyFont="1" applyBorder="1" applyAlignment="1">
      <alignment vertical="center" wrapText="1"/>
    </xf>
    <xf numFmtId="165" fontId="8" fillId="2" borderId="7" xfId="1" applyNumberFormat="1" applyFont="1" applyFill="1" applyBorder="1" applyAlignment="1">
      <alignment horizontal="center" vertical="center" wrapText="1"/>
    </xf>
    <xf numFmtId="165" fontId="8" fillId="0" borderId="7" xfId="1" applyNumberFormat="1" applyFont="1" applyBorder="1" applyAlignment="1">
      <alignment horizontal="center" vertical="center" wrapText="1"/>
    </xf>
    <xf numFmtId="167" fontId="8" fillId="2" borderId="1" xfId="0" applyNumberFormat="1" applyFont="1" applyFill="1" applyBorder="1" applyAlignment="1">
      <alignment horizontal="center" vertical="center" wrapText="1"/>
    </xf>
    <xf numFmtId="164" fontId="8" fillId="0" borderId="1" xfId="0" applyNumberFormat="1" applyFont="1" applyBorder="1" applyAlignment="1">
      <alignment horizontal="right" vertical="center" wrapText="1"/>
    </xf>
    <xf numFmtId="4" fontId="8" fillId="0" borderId="1" xfId="0" applyNumberFormat="1" applyFont="1" applyBorder="1" applyAlignment="1">
      <alignment horizontal="center" vertical="center" wrapText="1"/>
    </xf>
    <xf numFmtId="3" fontId="8" fillId="0" borderId="0" xfId="0" applyNumberFormat="1" applyFont="1" applyAlignment="1">
      <alignment horizontal="center" vertical="center" wrapText="1"/>
    </xf>
    <xf numFmtId="2" fontId="8" fillId="0" borderId="1" xfId="1" applyNumberFormat="1" applyFont="1" applyBorder="1" applyAlignment="1">
      <alignment horizontal="center" vertical="center" wrapText="1"/>
    </xf>
    <xf numFmtId="43" fontId="8" fillId="0" borderId="1" xfId="0" applyNumberFormat="1" applyFont="1" applyBorder="1" applyAlignment="1">
      <alignment horizontal="center" vertical="center" wrapText="1"/>
    </xf>
    <xf numFmtId="43" fontId="8" fillId="2" borderId="1" xfId="1" applyFont="1" applyFill="1" applyBorder="1" applyAlignment="1">
      <alignment horizontal="right" vertical="center" wrapText="1"/>
    </xf>
    <xf numFmtId="43"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xf>
    <xf numFmtId="165" fontId="8" fillId="0" borderId="10" xfId="1" applyNumberFormat="1" applyFont="1" applyBorder="1" applyAlignment="1">
      <alignment horizontal="center" vertical="center" wrapText="1"/>
    </xf>
    <xf numFmtId="170" fontId="8" fillId="0" borderId="9" xfId="0" applyNumberFormat="1" applyFont="1" applyBorder="1" applyAlignment="1">
      <alignment horizontal="center" vertical="center" wrapText="1"/>
    </xf>
    <xf numFmtId="165" fontId="8" fillId="2" borderId="10" xfId="1" applyNumberFormat="1" applyFont="1" applyFill="1" applyBorder="1" applyAlignment="1">
      <alignment horizontal="center" vertical="center" wrapText="1"/>
    </xf>
    <xf numFmtId="170" fontId="8" fillId="2" borderId="9" xfId="0"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165" fontId="8" fillId="2" borderId="1" xfId="1" applyNumberFormat="1" applyFont="1" applyFill="1" applyBorder="1" applyAlignment="1">
      <alignment horizontal="right" wrapText="1"/>
    </xf>
    <xf numFmtId="43" fontId="8" fillId="0" borderId="1" xfId="1" applyFont="1" applyBorder="1" applyAlignment="1">
      <alignment horizontal="center" vertical="center"/>
    </xf>
    <xf numFmtId="0" fontId="8" fillId="2" borderId="9" xfId="0" applyFont="1" applyFill="1" applyBorder="1" applyAlignment="1">
      <alignment vertical="center" wrapText="1"/>
    </xf>
    <xf numFmtId="165" fontId="8" fillId="0" borderId="9" xfId="1" applyNumberFormat="1" applyFont="1" applyBorder="1" applyAlignment="1">
      <alignment vertical="center" wrapText="1"/>
    </xf>
    <xf numFmtId="165" fontId="8" fillId="0" borderId="9" xfId="1" applyNumberFormat="1" applyFont="1" applyFill="1" applyBorder="1" applyAlignment="1">
      <alignment vertical="center" wrapText="1"/>
    </xf>
    <xf numFmtId="172" fontId="8" fillId="0" borderId="14" xfId="0" applyNumberFormat="1" applyFont="1" applyBorder="1" applyAlignment="1">
      <alignment horizontal="center" vertical="center" wrapText="1"/>
    </xf>
    <xf numFmtId="0" fontId="8" fillId="2" borderId="10" xfId="0" applyFont="1" applyFill="1" applyBorder="1" applyAlignment="1">
      <alignment vertical="center" wrapText="1"/>
    </xf>
    <xf numFmtId="165" fontId="8" fillId="0" borderId="10" xfId="1" applyNumberFormat="1" applyFont="1" applyBorder="1" applyAlignment="1">
      <alignment vertical="center" wrapText="1"/>
    </xf>
    <xf numFmtId="165" fontId="8" fillId="0" borderId="10" xfId="1" applyNumberFormat="1" applyFont="1" applyFill="1" applyBorder="1" applyAlignment="1">
      <alignment vertical="center" wrapText="1"/>
    </xf>
    <xf numFmtId="172" fontId="8" fillId="0" borderId="10" xfId="0" applyNumberFormat="1" applyFont="1" applyBorder="1" applyAlignment="1">
      <alignment horizontal="center" vertical="center" wrapText="1"/>
    </xf>
    <xf numFmtId="1" fontId="8" fillId="0" borderId="10" xfId="0" applyNumberFormat="1" applyFont="1" applyBorder="1" applyAlignment="1">
      <alignment horizontal="left" vertical="center" wrapText="1"/>
    </xf>
    <xf numFmtId="1" fontId="8" fillId="0" borderId="11" xfId="0" applyNumberFormat="1" applyFont="1" applyBorder="1" applyAlignment="1">
      <alignment horizontal="left" vertical="center" wrapText="1"/>
    </xf>
    <xf numFmtId="165" fontId="8" fillId="0" borderId="11" xfId="1" applyNumberFormat="1" applyFont="1" applyBorder="1" applyAlignment="1">
      <alignment vertical="center" wrapText="1"/>
    </xf>
    <xf numFmtId="165" fontId="8" fillId="0" borderId="11" xfId="1" applyNumberFormat="1" applyFont="1" applyFill="1" applyBorder="1" applyAlignment="1">
      <alignment vertical="center" wrapText="1"/>
    </xf>
    <xf numFmtId="172" fontId="8" fillId="0" borderId="15" xfId="0" applyNumberFormat="1" applyFont="1" applyBorder="1" applyAlignment="1">
      <alignment horizontal="center" vertical="center" wrapText="1"/>
    </xf>
    <xf numFmtId="165" fontId="8" fillId="0" borderId="1" xfId="1" applyNumberFormat="1" applyFont="1" applyBorder="1" applyAlignment="1">
      <alignment horizontal="right" vertical="center" wrapText="1"/>
    </xf>
    <xf numFmtId="0" fontId="8" fillId="0" borderId="16" xfId="2" applyFont="1" applyBorder="1" applyAlignment="1">
      <alignment horizontal="left" vertical="center" wrapText="1"/>
    </xf>
    <xf numFmtId="0" fontId="8" fillId="0" borderId="16" xfId="0" applyFont="1" applyBorder="1" applyAlignment="1">
      <alignment vertical="center" wrapText="1"/>
    </xf>
    <xf numFmtId="168" fontId="8" fillId="0" borderId="16" xfId="0" applyNumberFormat="1" applyFont="1" applyBorder="1" applyAlignment="1">
      <alignment vertical="center" wrapText="1"/>
    </xf>
    <xf numFmtId="0" fontId="8" fillId="0" borderId="17" xfId="2" applyFont="1" applyBorder="1" applyAlignment="1">
      <alignment horizontal="left" vertical="center" wrapText="1"/>
    </xf>
    <xf numFmtId="0" fontId="8" fillId="0" borderId="17" xfId="0" applyFont="1" applyBorder="1" applyAlignment="1">
      <alignment vertical="center" wrapText="1"/>
    </xf>
    <xf numFmtId="168" fontId="8" fillId="0" borderId="17" xfId="0" applyNumberFormat="1" applyFont="1" applyBorder="1" applyAlignment="1">
      <alignment vertical="center" wrapText="1"/>
    </xf>
    <xf numFmtId="167" fontId="8" fillId="0" borderId="17" xfId="0" applyNumberFormat="1" applyFont="1" applyBorder="1" applyAlignment="1">
      <alignment vertical="center" wrapText="1"/>
    </xf>
    <xf numFmtId="0" fontId="8" fillId="0" borderId="18" xfId="2" applyFont="1" applyBorder="1" applyAlignment="1">
      <alignment horizontal="left" vertical="center" wrapText="1"/>
    </xf>
    <xf numFmtId="0" fontId="8" fillId="0" borderId="18" xfId="0" applyFont="1" applyBorder="1" applyAlignment="1">
      <alignment vertical="center" wrapText="1"/>
    </xf>
    <xf numFmtId="167" fontId="8" fillId="0" borderId="18" xfId="0" applyNumberFormat="1" applyFont="1" applyBorder="1" applyAlignment="1">
      <alignment vertical="center" wrapText="1"/>
    </xf>
    <xf numFmtId="0" fontId="8" fillId="0" borderId="1" xfId="0"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 xfId="0" quotePrefix="1" applyFont="1" applyBorder="1" applyAlignment="1">
      <alignment vertical="center" wrapText="1"/>
    </xf>
    <xf numFmtId="165" fontId="8" fillId="0" borderId="1" xfId="1" applyNumberFormat="1" applyFont="1" applyFill="1" applyBorder="1" applyAlignment="1">
      <alignment horizontal="center" vertical="center" wrapText="1"/>
    </xf>
    <xf numFmtId="165" fontId="13" fillId="0" borderId="1" xfId="1" applyNumberFormat="1" applyFont="1" applyFill="1" applyBorder="1" applyAlignment="1">
      <alignment horizontal="center" vertical="center" wrapText="1"/>
    </xf>
    <xf numFmtId="165" fontId="8" fillId="0" borderId="1" xfId="1" applyNumberFormat="1" applyFont="1" applyFill="1" applyBorder="1" applyAlignment="1">
      <alignment vertical="center"/>
    </xf>
    <xf numFmtId="0" fontId="8" fillId="2" borderId="17" xfId="0" applyFont="1" applyFill="1" applyBorder="1" applyAlignment="1">
      <alignment horizontal="left" vertical="center" wrapText="1"/>
    </xf>
    <xf numFmtId="165" fontId="8" fillId="2" borderId="17" xfId="1" applyNumberFormat="1" applyFont="1" applyFill="1" applyBorder="1" applyAlignment="1">
      <alignment horizontal="center" vertical="center" wrapText="1"/>
    </xf>
    <xf numFmtId="0" fontId="8" fillId="0" borderId="1" xfId="2"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left" vertical="center" wrapText="1"/>
    </xf>
    <xf numFmtId="164" fontId="3" fillId="0" borderId="1" xfId="1" applyNumberFormat="1" applyFont="1" applyBorder="1" applyAlignment="1">
      <alignment horizontal="right" vertical="center" wrapText="1"/>
    </xf>
    <xf numFmtId="0" fontId="3" fillId="0" borderId="10" xfId="0" applyFont="1" applyBorder="1" applyAlignment="1">
      <alignment vertical="center" wrapText="1"/>
    </xf>
    <xf numFmtId="0" fontId="16" fillId="0" borderId="19" xfId="0" applyFont="1" applyBorder="1" applyAlignment="1">
      <alignment horizontal="left" vertical="center" wrapText="1"/>
    </xf>
    <xf numFmtId="0" fontId="3" fillId="0" borderId="19" xfId="0" applyFont="1" applyBorder="1" applyAlignment="1">
      <alignment horizontal="left" vertical="center" wrapText="1"/>
    </xf>
    <xf numFmtId="165" fontId="3" fillId="2" borderId="10" xfId="1" applyNumberFormat="1" applyFont="1" applyFill="1" applyBorder="1" applyAlignment="1">
      <alignment horizontal="center" vertical="center" wrapText="1"/>
    </xf>
    <xf numFmtId="165" fontId="3" fillId="0" borderId="10" xfId="1" applyNumberFormat="1" applyFont="1" applyBorder="1" applyAlignment="1">
      <alignment horizontal="center" vertical="center" wrapText="1"/>
    </xf>
    <xf numFmtId="165" fontId="8" fillId="0" borderId="11" xfId="1" applyNumberFormat="1" applyFont="1" applyBorder="1" applyAlignment="1">
      <alignment horizontal="center" vertical="center" wrapText="1"/>
    </xf>
    <xf numFmtId="0" fontId="4" fillId="0" borderId="0" xfId="0" applyFont="1" applyAlignment="1">
      <alignment horizontal="left" vertical="center" wrapText="1"/>
    </xf>
    <xf numFmtId="0" fontId="3" fillId="0" borderId="8" xfId="0" applyFont="1" applyBorder="1" applyAlignment="1">
      <alignment vertical="center" wrapText="1"/>
    </xf>
    <xf numFmtId="0" fontId="16" fillId="0" borderId="0" xfId="0" applyFont="1" applyAlignment="1">
      <alignment horizontal="left" vertical="center" wrapText="1"/>
    </xf>
    <xf numFmtId="0" fontId="4" fillId="0" borderId="0" xfId="0" applyFont="1" applyAlignment="1">
      <alignment horizontal="center" wrapText="1"/>
    </xf>
    <xf numFmtId="0" fontId="0" fillId="0" borderId="0" xfId="0" applyAlignment="1">
      <alignment horizontal="center"/>
    </xf>
    <xf numFmtId="165" fontId="5" fillId="0" borderId="1" xfId="1" applyNumberFormat="1" applyFont="1" applyBorder="1" applyAlignment="1">
      <alignment horizontal="left" vertical="center" wrapText="1"/>
    </xf>
    <xf numFmtId="165" fontId="5" fillId="0" borderId="0" xfId="1" applyNumberFormat="1" applyFont="1" applyAlignment="1">
      <alignment horizontal="center" vertical="center" wrapText="1"/>
    </xf>
    <xf numFmtId="0" fontId="3" fillId="0" borderId="9" xfId="0" applyFont="1" applyBorder="1" applyAlignment="1">
      <alignment horizontal="center" vertical="center" wrapText="1"/>
    </xf>
    <xf numFmtId="0" fontId="3" fillId="2" borderId="9" xfId="0" applyFont="1" applyFill="1" applyBorder="1" applyAlignment="1">
      <alignment horizontal="left" vertical="center" wrapText="1"/>
    </xf>
    <xf numFmtId="165" fontId="3" fillId="2" borderId="9" xfId="1" applyNumberFormat="1" applyFont="1" applyFill="1" applyBorder="1" applyAlignment="1">
      <alignment horizontal="center" vertical="center" wrapText="1"/>
    </xf>
    <xf numFmtId="165" fontId="8" fillId="0" borderId="9" xfId="1" applyNumberFormat="1" applyFont="1" applyBorder="1" applyAlignment="1">
      <alignment horizontal="center" vertical="center" wrapText="1"/>
    </xf>
    <xf numFmtId="0" fontId="3" fillId="2" borderId="11" xfId="0" applyFont="1" applyFill="1" applyBorder="1" applyAlignment="1">
      <alignment horizontal="left" vertical="center" wrapText="1"/>
    </xf>
    <xf numFmtId="165" fontId="3" fillId="2" borderId="11" xfId="1" applyNumberFormat="1" applyFont="1" applyFill="1" applyBorder="1" applyAlignment="1">
      <alignment horizontal="center" vertical="center" wrapText="1"/>
    </xf>
    <xf numFmtId="0" fontId="3" fillId="0" borderId="9" xfId="0" quotePrefix="1" applyFont="1" applyBorder="1" applyAlignment="1">
      <alignment horizontal="left" vertical="center" wrapText="1"/>
    </xf>
    <xf numFmtId="0" fontId="3" fillId="0" borderId="11" xfId="0" applyFont="1" applyBorder="1" applyAlignment="1">
      <alignment horizontal="left" vertical="center" wrapText="1"/>
    </xf>
    <xf numFmtId="43" fontId="8" fillId="0" borderId="11" xfId="1" applyNumberFormat="1" applyFont="1" applyBorder="1" applyAlignment="1">
      <alignment horizontal="center" vertical="center" wrapText="1"/>
    </xf>
    <xf numFmtId="3" fontId="11" fillId="0" borderId="1" xfId="0" applyNumberFormat="1" applyFont="1" applyBorder="1" applyAlignment="1">
      <alignment vertical="center"/>
    </xf>
    <xf numFmtId="43" fontId="3" fillId="0" borderId="1" xfId="1" applyNumberFormat="1" applyFont="1" applyBorder="1" applyAlignment="1">
      <alignment horizontal="center" vertical="center" wrapText="1"/>
    </xf>
    <xf numFmtId="172" fontId="3" fillId="0" borderId="1" xfId="1" applyNumberFormat="1" applyFont="1" applyBorder="1" applyAlignment="1">
      <alignment horizontal="center" vertical="center" wrapText="1"/>
    </xf>
    <xf numFmtId="43" fontId="3" fillId="0" borderId="9" xfId="1" applyNumberFormat="1" applyFont="1" applyBorder="1" applyAlignment="1">
      <alignment horizontal="center" vertical="center"/>
    </xf>
    <xf numFmtId="43" fontId="3" fillId="2" borderId="9" xfId="1" applyNumberFormat="1" applyFont="1" applyFill="1" applyBorder="1" applyAlignment="1">
      <alignment horizontal="center" vertical="center" wrapText="1"/>
    </xf>
    <xf numFmtId="172" fontId="3" fillId="2" borderId="9" xfId="1"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2" applyFont="1" applyBorder="1" applyAlignment="1">
      <alignment horizontal="center" vertical="center" wrapText="1"/>
    </xf>
    <xf numFmtId="43" fontId="3" fillId="0" borderId="10" xfId="1" applyNumberFormat="1" applyFont="1" applyBorder="1" applyAlignment="1">
      <alignment horizontal="center" vertical="center"/>
    </xf>
    <xf numFmtId="43" fontId="3" fillId="2" borderId="10" xfId="1" applyNumberFormat="1" applyFont="1" applyFill="1" applyBorder="1" applyAlignment="1">
      <alignment horizontal="center" vertical="center" wrapText="1"/>
    </xf>
    <xf numFmtId="172" fontId="3" fillId="2" borderId="10" xfId="1" applyNumberFormat="1" applyFont="1" applyFill="1" applyBorder="1" applyAlignment="1">
      <alignment horizontal="center" vertical="center" wrapText="1"/>
    </xf>
    <xf numFmtId="165" fontId="0" fillId="2" borderId="10" xfId="1" applyNumberFormat="1" applyFont="1" applyFill="1" applyBorder="1" applyAlignment="1">
      <alignment horizontal="center" vertical="center" wrapText="1"/>
    </xf>
    <xf numFmtId="43" fontId="3" fillId="0" borderId="10" xfId="1" applyFont="1" applyBorder="1" applyAlignment="1">
      <alignment horizontal="center" vertical="center" wrapText="1"/>
    </xf>
    <xf numFmtId="164" fontId="3" fillId="0" borderId="10" xfId="1"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2" applyFont="1" applyBorder="1" applyAlignment="1">
      <alignment horizontal="center" vertical="center" wrapText="1"/>
    </xf>
    <xf numFmtId="43" fontId="3" fillId="0" borderId="11" xfId="1" applyNumberFormat="1" applyFont="1" applyBorder="1" applyAlignment="1">
      <alignment horizontal="center" vertical="center"/>
    </xf>
    <xf numFmtId="43" fontId="3" fillId="2" borderId="11" xfId="1" applyNumberFormat="1" applyFont="1" applyFill="1" applyBorder="1" applyAlignment="1">
      <alignment horizontal="center" vertical="center" wrapText="1"/>
    </xf>
    <xf numFmtId="172" fontId="3" fillId="2" borderId="11" xfId="1" applyNumberFormat="1" applyFont="1" applyFill="1" applyBorder="1" applyAlignment="1">
      <alignment horizontal="center" vertical="center" wrapText="1"/>
    </xf>
    <xf numFmtId="165" fontId="3" fillId="0" borderId="11" xfId="1" applyNumberFormat="1" applyFont="1" applyBorder="1" applyAlignment="1">
      <alignment horizontal="center" vertical="center" wrapText="1"/>
    </xf>
    <xf numFmtId="43" fontId="3" fillId="0" borderId="11" xfId="1" applyFont="1" applyBorder="1" applyAlignment="1">
      <alignment horizontal="center" vertical="center" wrapText="1"/>
    </xf>
    <xf numFmtId="164" fontId="3" fillId="0" borderId="11" xfId="1" applyNumberFormat="1" applyFont="1" applyBorder="1" applyAlignment="1">
      <alignment horizontal="center" vertical="center" wrapText="1"/>
    </xf>
    <xf numFmtId="2" fontId="8" fillId="0" borderId="9" xfId="1" applyNumberFormat="1" applyFont="1" applyBorder="1" applyAlignment="1">
      <alignment horizontal="center" vertical="center" wrapText="1"/>
    </xf>
    <xf numFmtId="43" fontId="3" fillId="0" borderId="9" xfId="1" applyFont="1" applyBorder="1" applyAlignment="1">
      <alignment horizontal="center" vertical="center" wrapText="1"/>
    </xf>
    <xf numFmtId="164" fontId="3" fillId="0" borderId="9" xfId="1" applyNumberFormat="1" applyFont="1" applyBorder="1" applyAlignment="1">
      <alignment horizontal="center" vertical="center" wrapText="1"/>
    </xf>
    <xf numFmtId="0" fontId="3" fillId="0" borderId="10" xfId="0" quotePrefix="1" applyFont="1" applyBorder="1" applyAlignment="1">
      <alignment horizontal="left" vertical="center" wrapText="1"/>
    </xf>
    <xf numFmtId="0" fontId="3" fillId="2"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2" borderId="9" xfId="0" applyFont="1" applyFill="1" applyBorder="1" applyAlignment="1">
      <alignment horizontal="center" vertical="center" wrapText="1"/>
    </xf>
    <xf numFmtId="173" fontId="3" fillId="2" borderId="9" xfId="1" applyNumberFormat="1" applyFont="1" applyFill="1" applyBorder="1" applyAlignment="1">
      <alignment horizontal="center" vertical="center" wrapText="1"/>
    </xf>
    <xf numFmtId="43" fontId="3" fillId="2" borderId="9" xfId="1" applyFont="1" applyFill="1" applyBorder="1" applyAlignment="1">
      <alignment horizontal="center" vertical="center" wrapText="1"/>
    </xf>
    <xf numFmtId="164" fontId="3" fillId="2" borderId="9" xfId="1"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173" fontId="3" fillId="2" borderId="10" xfId="1" applyNumberFormat="1" applyFont="1" applyFill="1" applyBorder="1" applyAlignment="1">
      <alignment horizontal="center" vertical="center" wrapText="1"/>
    </xf>
    <xf numFmtId="43" fontId="3" fillId="2" borderId="10" xfId="1" applyFont="1" applyFill="1" applyBorder="1" applyAlignment="1">
      <alignment horizontal="center" vertical="center" wrapText="1"/>
    </xf>
    <xf numFmtId="164" fontId="3" fillId="2" borderId="10" xfId="1" applyNumberFormat="1" applyFont="1" applyFill="1" applyBorder="1" applyAlignment="1">
      <alignment horizontal="center" vertical="center" wrapText="1"/>
    </xf>
    <xf numFmtId="43" fontId="3" fillId="0" borderId="9" xfId="1" applyNumberFormat="1" applyFont="1" applyBorder="1" applyAlignment="1">
      <alignment horizontal="center" vertical="center" wrapText="1"/>
    </xf>
    <xf numFmtId="43" fontId="4" fillId="0" borderId="1" xfId="1" applyNumberFormat="1" applyFont="1" applyBorder="1" applyAlignment="1">
      <alignment horizontal="center" vertical="center" wrapText="1"/>
    </xf>
    <xf numFmtId="43"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3" fillId="0" borderId="9" xfId="1" applyNumberFormat="1" applyFont="1" applyBorder="1" applyAlignment="1">
      <alignment horizontal="center" vertical="center"/>
    </xf>
    <xf numFmtId="2" fontId="8" fillId="0" borderId="10" xfId="1" applyNumberFormat="1" applyFont="1" applyBorder="1" applyAlignment="1">
      <alignment horizontal="center" vertical="center" wrapText="1"/>
    </xf>
    <xf numFmtId="2" fontId="3" fillId="0" borderId="10" xfId="1" applyNumberFormat="1" applyFont="1" applyBorder="1" applyAlignment="1">
      <alignment horizontal="center" vertical="center"/>
    </xf>
    <xf numFmtId="2" fontId="3" fillId="2" borderId="10" xfId="1" applyNumberFormat="1" applyFont="1" applyFill="1" applyBorder="1" applyAlignment="1">
      <alignment horizontal="center" vertical="center" wrapText="1"/>
    </xf>
    <xf numFmtId="2" fontId="3" fillId="0" borderId="11" xfId="1" applyNumberFormat="1" applyFont="1" applyBorder="1" applyAlignment="1">
      <alignment horizontal="center" vertical="center"/>
    </xf>
    <xf numFmtId="2" fontId="3" fillId="2" borderId="11" xfId="1"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left" vertical="center" wrapText="1"/>
    </xf>
    <xf numFmtId="0" fontId="3" fillId="2" borderId="11" xfId="0" applyFont="1" applyFill="1" applyBorder="1" applyAlignment="1">
      <alignment horizontal="center" vertical="center" wrapText="1"/>
    </xf>
    <xf numFmtId="43" fontId="3" fillId="2" borderId="11" xfId="1" applyFont="1" applyFill="1" applyBorder="1" applyAlignment="1">
      <alignment horizontal="center" vertical="center" wrapText="1"/>
    </xf>
    <xf numFmtId="164" fontId="3" fillId="2" borderId="11" xfId="1"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3" fontId="3" fillId="2" borderId="1" xfId="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4" fillId="2" borderId="1" xfId="0" applyFont="1" applyFill="1" applyBorder="1" applyAlignment="1">
      <alignment horizontal="left" vertical="center" wrapText="1"/>
    </xf>
    <xf numFmtId="43" fontId="3" fillId="2" borderId="1" xfId="0" applyNumberFormat="1" applyFont="1" applyFill="1" applyBorder="1" applyAlignment="1">
      <alignment horizontal="center" vertical="center" wrapText="1"/>
    </xf>
    <xf numFmtId="174" fontId="3" fillId="2" borderId="1" xfId="0" applyNumberFormat="1" applyFont="1" applyFill="1" applyBorder="1" applyAlignment="1">
      <alignment horizontal="center" vertical="center" wrapText="1"/>
    </xf>
    <xf numFmtId="166" fontId="18" fillId="0" borderId="1" xfId="0" applyNumberFormat="1" applyFont="1" applyBorder="1" applyAlignment="1">
      <alignment horizontal="center" vertical="center" wrapText="1"/>
    </xf>
    <xf numFmtId="166" fontId="18" fillId="2" borderId="1" xfId="0" applyNumberFormat="1" applyFont="1" applyFill="1" applyBorder="1" applyAlignment="1">
      <alignment horizontal="center" vertical="center" wrapText="1"/>
    </xf>
    <xf numFmtId="43" fontId="18" fillId="2" borderId="1" xfId="1" applyNumberFormat="1" applyFont="1" applyFill="1" applyBorder="1" applyAlignment="1">
      <alignment horizontal="center" vertical="center" wrapText="1"/>
    </xf>
    <xf numFmtId="165" fontId="18" fillId="2" borderId="1" xfId="1"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4" fillId="0" borderId="0" xfId="0" applyFont="1" applyAlignment="1">
      <alignment horizontal="left"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1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9" fillId="0" borderId="0" xfId="0" applyFont="1" applyAlignment="1">
      <alignment horizontal="center" vertical="center" wrapText="1"/>
    </xf>
    <xf numFmtId="0" fontId="9" fillId="0" borderId="4" xfId="0" applyFont="1" applyBorder="1" applyAlignment="1">
      <alignment horizontal="right" vertical="center" wrapText="1"/>
    </xf>
  </cellXfs>
  <cellStyles count="5">
    <cellStyle name="Comma" xfId="1" builtinId="3"/>
    <cellStyle name="Normal" xfId="0" builtinId="0"/>
    <cellStyle name="Normal 2" xfId="2"/>
    <cellStyle name="Normal 2 2" xfId="3"/>
    <cellStyle name="Normal_KTCuJut - Long 29Nov"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1.xml"/><Relationship Id="rId7"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worksheet" Target="worksheets/sheet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'Mẫu 12 T1-A'!$R$6:$R$7</c:f>
              <c:strCache>
                <c:ptCount val="2"/>
                <c:pt idx="0">
                  <c:v>Đơn vị: tỷ đồng.</c:v>
                </c:pt>
              </c:strCache>
            </c:strRef>
          </c:tx>
          <c:spPr>
            <a:solidFill>
              <a:schemeClr val="accent1"/>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T1-A'!$R$8:$R$22</c:f>
              <c:numCache>
                <c:formatCode>General</c:formatCode>
                <c:ptCount val="15"/>
                <c:pt idx="0">
                  <c:v>0</c:v>
                </c:pt>
                <c:pt idx="3">
                  <c:v>17</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0-8463-4E28-A789-1FDDB7C93746}"/>
            </c:ext>
          </c:extLst>
        </c:ser>
        <c:ser>
          <c:idx val="1"/>
          <c:order val="1"/>
          <c:tx>
            <c:strRef>
              <c:f>'Mẫu 12 T1-A'!$S$6:$S$7</c:f>
              <c:strCache>
                <c:ptCount val="2"/>
                <c:pt idx="0">
                  <c:v>Đơn vị: tỷ đồng.</c:v>
                </c:pt>
              </c:strCache>
            </c:strRef>
          </c:tx>
          <c:spPr>
            <a:solidFill>
              <a:schemeClr val="accent2"/>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T1-A'!$S$8:$S$22</c:f>
              <c:numCache>
                <c:formatCode>General</c:formatCode>
                <c:ptCount val="15"/>
                <c:pt idx="0">
                  <c:v>0</c:v>
                </c:pt>
                <c:pt idx="1">
                  <c:v>0</c:v>
                </c:pt>
                <c:pt idx="3">
                  <c:v>18</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1-8463-4E28-A789-1FDDB7C93746}"/>
            </c:ext>
          </c:extLst>
        </c:ser>
        <c:ser>
          <c:idx val="2"/>
          <c:order val="2"/>
          <c:tx>
            <c:strRef>
              <c:f>'Mẫu 12 T1-A'!$T$6:$T$7</c:f>
              <c:strCache>
                <c:ptCount val="2"/>
                <c:pt idx="0">
                  <c:v>Đơn vị: tỷ đồng.</c:v>
                </c:pt>
              </c:strCache>
            </c:strRef>
          </c:tx>
          <c:spPr>
            <a:solidFill>
              <a:schemeClr val="accent3"/>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T1-A'!$T$8:$T$22</c:f>
              <c:numCache>
                <c:formatCode>General</c:formatCode>
                <c:ptCount val="15"/>
                <c:pt idx="1">
                  <c:v>0</c:v>
                </c:pt>
                <c:pt idx="3">
                  <c:v>19</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2-8463-4E28-A789-1FDDB7C93746}"/>
            </c:ext>
          </c:extLst>
        </c:ser>
        <c:dLbls>
          <c:showLegendKey val="0"/>
          <c:showVal val="0"/>
          <c:showCatName val="0"/>
          <c:showSerName val="0"/>
          <c:showPercent val="0"/>
          <c:showBubbleSize val="0"/>
        </c:dLbls>
        <c:gapWidth val="219"/>
        <c:overlap val="-27"/>
        <c:axId val="-481777952"/>
        <c:axId val="-481768160"/>
      </c:barChart>
      <c:catAx>
        <c:axId val="-48177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68160"/>
        <c:crosses val="autoZero"/>
        <c:auto val="1"/>
        <c:lblAlgn val="ctr"/>
        <c:lblOffset val="100"/>
        <c:noMultiLvlLbl val="0"/>
      </c:catAx>
      <c:valAx>
        <c:axId val="-481768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77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'Mẫu 12 T1-A'!$R$6:$R$7</c:f>
              <c:strCache>
                <c:ptCount val="2"/>
                <c:pt idx="0">
                  <c:v>Đơn vị: tỷ đồng.</c:v>
                </c:pt>
              </c:strCache>
            </c:strRef>
          </c:tx>
          <c:spPr>
            <a:solidFill>
              <a:schemeClr val="accent1"/>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T1-A'!$R$8:$R$22</c:f>
              <c:numCache>
                <c:formatCode>General</c:formatCode>
                <c:ptCount val="15"/>
                <c:pt idx="0">
                  <c:v>0</c:v>
                </c:pt>
                <c:pt idx="3">
                  <c:v>17</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0-4903-4C5F-94F1-E1F9FB5026E6}"/>
            </c:ext>
          </c:extLst>
        </c:ser>
        <c:ser>
          <c:idx val="1"/>
          <c:order val="1"/>
          <c:tx>
            <c:strRef>
              <c:f>'Mẫu 12 T1-A'!$S$6:$S$7</c:f>
              <c:strCache>
                <c:ptCount val="2"/>
                <c:pt idx="0">
                  <c:v>Đơn vị: tỷ đồng.</c:v>
                </c:pt>
              </c:strCache>
            </c:strRef>
          </c:tx>
          <c:spPr>
            <a:solidFill>
              <a:schemeClr val="accent2"/>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T1-A'!$S$8:$S$22</c:f>
              <c:numCache>
                <c:formatCode>General</c:formatCode>
                <c:ptCount val="15"/>
                <c:pt idx="0">
                  <c:v>0</c:v>
                </c:pt>
                <c:pt idx="1">
                  <c:v>0</c:v>
                </c:pt>
                <c:pt idx="3">
                  <c:v>18</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1-4903-4C5F-94F1-E1F9FB5026E6}"/>
            </c:ext>
          </c:extLst>
        </c:ser>
        <c:ser>
          <c:idx val="2"/>
          <c:order val="2"/>
          <c:tx>
            <c:strRef>
              <c:f>'Mẫu 12 T1-A'!$T$6:$T$7</c:f>
              <c:strCache>
                <c:ptCount val="2"/>
                <c:pt idx="0">
                  <c:v>Đơn vị: tỷ đồng.</c:v>
                </c:pt>
              </c:strCache>
            </c:strRef>
          </c:tx>
          <c:spPr>
            <a:solidFill>
              <a:schemeClr val="accent3"/>
            </a:solidFill>
            <a:ln>
              <a:noFill/>
            </a:ln>
            <a:effectLst/>
          </c:spPr>
          <c:invertIfNegative val="0"/>
          <c:cat>
            <c:multiLvlStrRef>
              <c:f>'Mẫu 12 T1-A'!$A$8:$Q$22</c:f>
              <c:multiLvlStrCache>
                <c:ptCount val="15"/>
                <c:lvl>
                  <c:pt idx="0">
                    <c:v>Giá trị  quyết toán được duyệt (nếu có)</c:v>
                  </c:pt>
                  <c:pt idx="3">
                    <c:v>16</c:v>
                  </c:pt>
                  <c:pt idx="4">
                    <c:v> -   </c:v>
                  </c:pt>
                  <c:pt idx="5">
                    <c:v> -   </c:v>
                  </c:pt>
                  <c:pt idx="6">
                    <c:v> -   </c:v>
                  </c:pt>
                </c:lvl>
                <c:lvl>
                  <c:pt idx="0">
                    <c:v>Giá trị chủ đầu tư đề nghị quyết toán hoặc giá trị khối lượng hoàn thành được nghiệm thu</c:v>
                  </c:pt>
                  <c:pt idx="3">
                    <c:v>15</c:v>
                  </c:pt>
                  <c:pt idx="4">
                    <c:v> -   </c:v>
                  </c:pt>
                  <c:pt idx="5">
                    <c:v> -   </c:v>
                  </c:pt>
                  <c:pt idx="6">
                    <c:v> -   </c:v>
                  </c:pt>
                </c:lvl>
                <c:lvl>
                  <c:pt idx="1">
                    <c:v>Trong đó: ngân sách trung ương</c:v>
                  </c:pt>
                  <c:pt idx="3">
                    <c:v>14</c:v>
                  </c:pt>
                  <c:pt idx="4">
                    <c:v> -   </c:v>
                  </c:pt>
                  <c:pt idx="5">
                    <c:v> -   </c:v>
                  </c:pt>
                  <c:pt idx="6">
                    <c:v> -   </c:v>
                  </c:pt>
                </c:lvl>
                <c:lvl>
                  <c:pt idx="0">
                    <c:v>Tổng mức đầu tư được duyệt hoặc điều chỉnh lần cuối của dự án </c:v>
                  </c:pt>
                  <c:pt idx="1">
                    <c:v>Tổng số</c:v>
                  </c:pt>
                  <c:pt idx="3">
                    <c:v>13</c:v>
                  </c:pt>
                  <c:pt idx="4">
                    <c:v> -   </c:v>
                  </c:pt>
                  <c:pt idx="5">
                    <c:v> -   </c:v>
                  </c:pt>
                  <c:pt idx="6">
                    <c:v> -   </c:v>
                  </c:pt>
                </c:lvl>
                <c:lvl>
                  <c:pt idx="0">
                    <c:v>Số dự án</c:v>
                  </c:pt>
                  <c:pt idx="3">
                    <c:v>12</c:v>
                  </c:pt>
                  <c:pt idx="4">
                    <c:v> -   </c:v>
                  </c:pt>
                  <c:pt idx="5">
                    <c:v> -   </c:v>
                  </c:pt>
                  <c:pt idx="6">
                    <c:v> -   </c:v>
                  </c:pt>
                </c:lvl>
                <c:lvl>
                  <c:pt idx="1">
                    <c:v>Trong đó: ngân sách trung ương</c:v>
                  </c:pt>
                  <c:pt idx="3">
                    <c:v>11</c:v>
                  </c:pt>
                  <c:pt idx="4">
                    <c:v> 2,21 </c:v>
                  </c:pt>
                  <c:pt idx="5">
                    <c:v> 0,00 </c:v>
                  </c:pt>
                  <c:pt idx="6">
                    <c:v> 0,00 </c:v>
                  </c:pt>
                  <c:pt idx="13">
                    <c:v> 0,0 </c:v>
                  </c:pt>
                </c:lvl>
                <c:lvl>
                  <c:pt idx="0">
                    <c:v>Vốn đầu  tư công còn lại phải bố trí đến thời điểm báo cáo so với giá trị quyết toán được duyệt hoặc giá trị đề nghị quyết toán hoặc giá trị khối lượng hoàn thành được nghiệm thu</c:v>
                  </c:pt>
                  <c:pt idx="1">
                    <c:v>Tổng số</c:v>
                  </c:pt>
                  <c:pt idx="3">
                    <c:v>10</c:v>
                  </c:pt>
                  <c:pt idx="4">
                    <c:v> 3,93 </c:v>
                  </c:pt>
                  <c:pt idx="5">
                    <c:v> 0,00 </c:v>
                  </c:pt>
                  <c:pt idx="6">
                    <c:v> 0,00 </c:v>
                  </c:pt>
                  <c:pt idx="7">
                    <c:v> 0,0 </c:v>
                  </c:pt>
                  <c:pt idx="8">
                    <c:v> -   </c:v>
                  </c:pt>
                  <c:pt idx="9">
                    <c:v> -   </c:v>
                  </c:pt>
                  <c:pt idx="10">
                    <c:v> -   </c:v>
                  </c:pt>
                  <c:pt idx="11">
                    <c:v> -   </c:v>
                  </c:pt>
                  <c:pt idx="12">
                    <c:v> -   </c:v>
                  </c:pt>
                  <c:pt idx="13">
                    <c:v> 0,0 </c:v>
                  </c:pt>
                </c:lvl>
                <c:lvl>
                  <c:pt idx="0">
                    <c:v>Vốn đã giải ngân</c:v>
                  </c:pt>
                  <c:pt idx="3">
                    <c:v>9</c:v>
                  </c:pt>
                  <c:pt idx="4">
                    <c:v> 15,28 </c:v>
                  </c:pt>
                  <c:pt idx="5">
                    <c:v> 2,64 </c:v>
                  </c:pt>
                  <c:pt idx="6">
                    <c:v> 2,64 </c:v>
                  </c:pt>
                  <c:pt idx="7">
                    <c:v> 1,08 </c:v>
                  </c:pt>
                  <c:pt idx="8">
                    <c:v> 0,53 </c:v>
                  </c:pt>
                  <c:pt idx="9">
                    <c:v> 0,11 </c:v>
                  </c:pt>
                  <c:pt idx="10">
                    <c:v> 0,11 </c:v>
                  </c:pt>
                  <c:pt idx="11">
                    <c:v> 0,12 </c:v>
                  </c:pt>
                  <c:pt idx="12">
                    <c:v> 0,48 </c:v>
                  </c:pt>
                  <c:pt idx="13">
                    <c:v> 0,21 </c:v>
                  </c:pt>
                </c:lvl>
                <c:lvl>
                  <c:pt idx="0">
                    <c:v>Giá trị quyết toán được duyệt (nếu có)</c:v>
                  </c:pt>
                  <c:pt idx="3">
                    <c:v>8</c:v>
                  </c:pt>
                  <c:pt idx="4">
                    <c:v> 9,93 </c:v>
                  </c:pt>
                  <c:pt idx="5">
                    <c:v> 2,64 </c:v>
                  </c:pt>
                  <c:pt idx="6">
                    <c:v> 2,64 </c:v>
                  </c:pt>
                  <c:pt idx="7">
                    <c:v> 1,08 </c:v>
                  </c:pt>
                  <c:pt idx="8">
                    <c:v> 0,53 </c:v>
                  </c:pt>
                  <c:pt idx="9">
                    <c:v> 0,11 </c:v>
                  </c:pt>
                  <c:pt idx="10">
                    <c:v> 0,11 </c:v>
                  </c:pt>
                  <c:pt idx="11">
                    <c:v> 0,12 </c:v>
                  </c:pt>
                  <c:pt idx="12">
                    <c:v> 0,48 </c:v>
                  </c:pt>
                  <c:pt idx="13">
                    <c:v> 0,21 </c:v>
                  </c:pt>
                </c:lvl>
                <c:lvl>
                  <c:pt idx="0">
                    <c:v>Giá trị đề nghị quyết toán hoặc giá trị khối lượng hoàn thành được nghiệm thu</c:v>
                  </c:pt>
                  <c:pt idx="3">
                    <c:v>7</c:v>
                  </c:pt>
                  <c:pt idx="4">
                    <c:v> 16,14 </c:v>
                  </c:pt>
                  <c:pt idx="5">
                    <c:v> 2,64 </c:v>
                  </c:pt>
                  <c:pt idx="6">
                    <c:v> 2,64 </c:v>
                  </c:pt>
                  <c:pt idx="7">
                    <c:v> 1,09 </c:v>
                  </c:pt>
                  <c:pt idx="8">
                    <c:v> 0,53 </c:v>
                  </c:pt>
                  <c:pt idx="9">
                    <c:v> 0,11 </c:v>
                  </c:pt>
                  <c:pt idx="10">
                    <c:v> 0,11 </c:v>
                  </c:pt>
                  <c:pt idx="11">
                    <c:v> 0,12 </c:v>
                  </c:pt>
                  <c:pt idx="12">
                    <c:v> 0,48 </c:v>
                  </c:pt>
                  <c:pt idx="13">
                    <c:v> 0,21 </c:v>
                  </c:pt>
                </c:lvl>
                <c:lvl>
                  <c:pt idx="1">
                    <c:v>Trong đó: ngân sách trung ương</c:v>
                  </c:pt>
                  <c:pt idx="3">
                    <c:v> 6,0 </c:v>
                  </c:pt>
                  <c:pt idx="4">
                    <c:v> 6,13 </c:v>
                  </c:pt>
                  <c:pt idx="5">
                    <c:v> 0,78 </c:v>
                  </c:pt>
                  <c:pt idx="6">
                    <c:v> 0,78 </c:v>
                  </c:pt>
                  <c:pt idx="8">
                    <c:v> 0,20 </c:v>
                  </c:pt>
                  <c:pt idx="9">
                    <c:v> 0,10 </c:v>
                  </c:pt>
                  <c:pt idx="10">
                    <c:v> 0,10 </c:v>
                  </c:pt>
                  <c:pt idx="11">
                    <c:v> 0,10 </c:v>
                  </c:pt>
                  <c:pt idx="12">
                    <c:v> 0,20 </c:v>
                  </c:pt>
                  <c:pt idx="13">
                    <c:v> 0,08 </c:v>
                  </c:pt>
                </c:lvl>
                <c:lvl>
                  <c:pt idx="0">
                    <c:v>Tổng mức đầu tư được duyệt hoặc điều chỉnh lần cuối của dự án </c:v>
                  </c:pt>
                  <c:pt idx="1">
                    <c:v>Tổng số</c:v>
                  </c:pt>
                  <c:pt idx="3">
                    <c:v>5</c:v>
                  </c:pt>
                  <c:pt idx="4">
                    <c:v> 17,00 </c:v>
                  </c:pt>
                  <c:pt idx="5">
                    <c:v> 2,77 </c:v>
                  </c:pt>
                  <c:pt idx="6">
                    <c:v> 2,77 </c:v>
                  </c:pt>
                  <c:pt idx="7">
                    <c:v> 1,13 </c:v>
                  </c:pt>
                  <c:pt idx="8">
                    <c:v> 0,56 </c:v>
                  </c:pt>
                  <c:pt idx="9">
                    <c:v> 0,11 </c:v>
                  </c:pt>
                  <c:pt idx="10">
                    <c:v> 0,12 </c:v>
                  </c:pt>
                  <c:pt idx="11">
                    <c:v> 0,13 </c:v>
                  </c:pt>
                  <c:pt idx="12">
                    <c:v> 0,50 </c:v>
                  </c:pt>
                  <c:pt idx="13">
                    <c:v> 0,22 </c:v>
                  </c:pt>
                </c:lvl>
                <c:lvl>
                  <c:pt idx="0">
                    <c:v>Số dự án</c:v>
                  </c:pt>
                  <c:pt idx="3">
                    <c:v>4</c:v>
                  </c:pt>
                  <c:pt idx="4">
                    <c:v>13</c:v>
                  </c:pt>
                  <c:pt idx="5">
                    <c:v>7</c:v>
                  </c:pt>
                  <c:pt idx="6">
                    <c:v>7</c:v>
                  </c:pt>
                  <c:pt idx="7">
                    <c:v>1</c:v>
                  </c:pt>
                  <c:pt idx="8">
                    <c:v>1</c:v>
                  </c:pt>
                  <c:pt idx="9">
                    <c:v>1</c:v>
                  </c:pt>
                  <c:pt idx="10">
                    <c:v>1</c:v>
                  </c:pt>
                  <c:pt idx="11">
                    <c:v>1</c:v>
                  </c:pt>
                  <c:pt idx="12">
                    <c:v>1</c:v>
                  </c:pt>
                  <c:pt idx="13">
                    <c:v>1</c:v>
                  </c:pt>
                </c:lvl>
                <c:lvl>
                  <c:pt idx="3">
                    <c:v>3=4+12</c:v>
                  </c:pt>
                  <c:pt idx="4">
                    <c:v> 13 </c:v>
                  </c:pt>
                  <c:pt idx="5">
                    <c:v> 7 </c:v>
                  </c:pt>
                  <c:pt idx="6">
                    <c:v>7</c:v>
                  </c:pt>
                </c:lvl>
                <c:lvl>
                  <c:pt idx="7">
                    <c:v>UBND xã Trung Hội</c:v>
                  </c:pt>
                  <c:pt idx="8">
                    <c:v>UBND xã Trung Hội</c:v>
                  </c:pt>
                  <c:pt idx="9">
                    <c:v>UBND xã Trung Hội</c:v>
                  </c:pt>
                  <c:pt idx="10">
                    <c:v>UBND xã Trung Hội</c:v>
                  </c:pt>
                  <c:pt idx="11">
                    <c:v>UBND xã Trung Hội</c:v>
                  </c:pt>
                  <c:pt idx="12">
                    <c:v>UBND xã Trung Hội</c:v>
                  </c:pt>
                  <c:pt idx="13">
                    <c:v>UBND xã Trung Hội</c:v>
                  </c:pt>
                </c:lvl>
                <c:lvl>
                  <c:pt idx="3">
                    <c:v>2</c:v>
                  </c:pt>
                  <c:pt idx="4">
                    <c:v>Tổng số dự án hoàn thành (I+II+III)</c:v>
                  </c:pt>
                  <c:pt idx="5">
                    <c:v>Dự án đã được phê duyệt quyết toán (1+2)</c:v>
                  </c:pt>
                  <c:pt idx="6">
                    <c:v>Dự án hoàn thành các năm trước</c:v>
                  </c:pt>
                  <c:pt idx="7">
                    <c:v>Cải tạo, nâng cấp nhà làm việc hai tầng - UBND xã Trung Hội</c:v>
                  </c:pt>
                  <c:pt idx="8">
                    <c:v>Đường GTNT xóm Hợp Thành, xã Trung Hội</c:v>
                  </c:pt>
                  <c:pt idx="9">
                    <c:v>Cải tạo nâng cấp Nhà văn hóa xóm Trung Tâm, xã Trung Hội</c:v>
                  </c:pt>
                  <c:pt idx="10">
                    <c:v>Cải tạo nâng cấp Nhà văn hóa xóm Thống Nhất, xã Trung Hội</c:v>
                  </c:pt>
                  <c:pt idx="11">
                    <c:v>Cải tạo nâng cấp Nhà văn hóa xóm Làng Mố, xã Trung Hội</c:v>
                  </c:pt>
                  <c:pt idx="12">
                    <c:v>Nhà văn hóa xóm Hợp Thành, xã Trung Hội</c:v>
                  </c:pt>
                  <c:pt idx="13">
                    <c:v>Đường nội đồng xóm Quán Vuông 2, xã Trung Hội</c:v>
                  </c:pt>
                  <c:pt idx="14">
                    <c:v>Dự án hoàn thành trong năm báo cáo</c:v>
                  </c:pt>
                </c:lvl>
                <c:lvl>
                  <c:pt idx="3">
                    <c:v>1</c:v>
                  </c:pt>
                  <c:pt idx="4">
                    <c:v>A</c:v>
                  </c:pt>
                  <c:pt idx="5">
                    <c:v>I</c:v>
                  </c:pt>
                  <c:pt idx="6">
                    <c:v>1</c:v>
                  </c:pt>
                  <c:pt idx="7">
                    <c:v>1.1</c:v>
                  </c:pt>
                  <c:pt idx="8">
                    <c:v>1.2</c:v>
                  </c:pt>
                  <c:pt idx="9">
                    <c:v>1.3</c:v>
                  </c:pt>
                  <c:pt idx="10">
                    <c:v>1.4</c:v>
                  </c:pt>
                  <c:pt idx="11">
                    <c:v>1.5</c:v>
                  </c:pt>
                  <c:pt idx="12">
                    <c:v>1.6</c:v>
                  </c:pt>
                  <c:pt idx="13">
                    <c:v>1.7</c:v>
                  </c:pt>
                  <c:pt idx="14">
                    <c:v> 2 </c:v>
                  </c:pt>
                </c:lvl>
              </c:multiLvlStrCache>
            </c:multiLvlStrRef>
          </c:cat>
          <c:val>
            <c:numRef>
              <c:f>'Mẫu 12 T1-A'!$T$8:$T$22</c:f>
              <c:numCache>
                <c:formatCode>General</c:formatCode>
                <c:ptCount val="15"/>
                <c:pt idx="1">
                  <c:v>0</c:v>
                </c:pt>
                <c:pt idx="3">
                  <c:v>19</c:v>
                </c:pt>
                <c:pt idx="4" formatCode="0.0">
                  <c:v>0</c:v>
                </c:pt>
                <c:pt idx="5" formatCode="_(* #,##0.0_);_(* \(#,##0.0\);_(* &quot;-&quot;??_);_(@_)">
                  <c:v>0</c:v>
                </c:pt>
                <c:pt idx="6" formatCode="0.0">
                  <c:v>0</c:v>
                </c:pt>
              </c:numCache>
            </c:numRef>
          </c:val>
          <c:extLst xmlns:c16r2="http://schemas.microsoft.com/office/drawing/2015/06/chart">
            <c:ext xmlns:c16="http://schemas.microsoft.com/office/drawing/2014/chart" uri="{C3380CC4-5D6E-409C-BE32-E72D297353CC}">
              <c16:uniqueId val="{00000002-4903-4C5F-94F1-E1F9FB5026E6}"/>
            </c:ext>
          </c:extLst>
        </c:ser>
        <c:dLbls>
          <c:showLegendKey val="0"/>
          <c:showVal val="0"/>
          <c:showCatName val="0"/>
          <c:showSerName val="0"/>
          <c:showPercent val="0"/>
          <c:showBubbleSize val="0"/>
        </c:dLbls>
        <c:gapWidth val="219"/>
        <c:overlap val="-27"/>
        <c:axId val="-481775232"/>
        <c:axId val="-481776320"/>
      </c:barChart>
      <c:catAx>
        <c:axId val="-48177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76320"/>
        <c:crosses val="autoZero"/>
        <c:auto val="1"/>
        <c:lblAlgn val="ctr"/>
        <c:lblOffset val="100"/>
        <c:noMultiLvlLbl val="0"/>
      </c:catAx>
      <c:valAx>
        <c:axId val="-481776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75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7228" cy="6067011"/>
    <xdr:graphicFrame macro="">
      <xdr:nvGraphicFramePr>
        <xdr:cNvPr id="2" name="Chart 1">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7228" cy="6067011"/>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tabSelected="1" view="pageBreakPreview" topLeftCell="A49" zoomScaleNormal="100" zoomScaleSheetLayoutView="100" workbookViewId="0">
      <selection activeCell="C7" sqref="C7:C10"/>
    </sheetView>
  </sheetViews>
  <sheetFormatPr defaultColWidth="8.7109375" defaultRowHeight="15"/>
  <cols>
    <col min="1" max="1" width="5.140625" style="1" customWidth="1"/>
    <col min="2" max="2" width="55.140625" style="1" customWidth="1"/>
    <col min="3" max="3" width="11.85546875" style="1" customWidth="1"/>
    <col min="4" max="4" width="7.7109375" style="1" customWidth="1"/>
    <col min="5" max="5" width="7.28515625" style="1" customWidth="1"/>
    <col min="6" max="6" width="7.7109375" style="1" customWidth="1"/>
    <col min="7" max="7" width="9" style="1" customWidth="1"/>
    <col min="8" max="8" width="9.42578125" style="1" customWidth="1"/>
    <col min="9" max="9" width="7.5703125" style="1" customWidth="1"/>
    <col min="10" max="10" width="8" style="1" customWidth="1"/>
    <col min="11" max="11" width="12.5703125" style="1" customWidth="1"/>
    <col min="12" max="12" width="13.140625" style="1" customWidth="1"/>
    <col min="13" max="13" width="6.5703125" style="1" customWidth="1"/>
    <col min="14" max="14" width="6" style="1" customWidth="1"/>
    <col min="15" max="15" width="10.42578125" style="1" customWidth="1"/>
    <col min="16" max="16" width="7.85546875" style="1" customWidth="1"/>
    <col min="17" max="17" width="6.140625" style="1" customWidth="1"/>
    <col min="18" max="18" width="6.5703125" style="1" customWidth="1"/>
    <col min="19" max="20" width="9.140625" style="1" customWidth="1"/>
    <col min="21" max="16384" width="8.7109375" style="1"/>
  </cols>
  <sheetData>
    <row r="1" spans="1:20" ht="30.75" customHeight="1">
      <c r="A1" s="250" t="s">
        <v>312</v>
      </c>
      <c r="B1" s="250"/>
      <c r="C1" s="151"/>
    </row>
    <row r="2" spans="1:20" ht="13.9" customHeight="1">
      <c r="B2" s="52"/>
      <c r="C2" s="52"/>
    </row>
    <row r="3" spans="1:20" ht="15" customHeight="1">
      <c r="B3" s="243" t="s">
        <v>316</v>
      </c>
      <c r="C3" s="243"/>
      <c r="D3" s="243"/>
      <c r="E3" s="243"/>
      <c r="F3" s="243"/>
      <c r="G3" s="243"/>
      <c r="H3" s="243"/>
      <c r="I3" s="243"/>
      <c r="J3" s="243"/>
      <c r="K3" s="243"/>
      <c r="L3" s="243"/>
      <c r="M3" s="243"/>
      <c r="N3" s="243"/>
      <c r="O3" s="243"/>
      <c r="P3" s="243"/>
      <c r="Q3" s="243"/>
      <c r="R3" s="243"/>
      <c r="S3" s="243"/>
      <c r="T3" s="243"/>
    </row>
    <row r="4" spans="1:20" ht="18" customHeight="1">
      <c r="B4" s="242" t="s">
        <v>333</v>
      </c>
      <c r="C4" s="242"/>
      <c r="D4" s="242"/>
      <c r="E4" s="242"/>
      <c r="F4" s="242"/>
      <c r="G4" s="242"/>
      <c r="H4" s="242"/>
      <c r="I4" s="242"/>
      <c r="J4" s="242"/>
      <c r="K4" s="242"/>
      <c r="L4" s="242"/>
      <c r="M4" s="242"/>
      <c r="N4" s="242"/>
      <c r="O4" s="242"/>
      <c r="P4" s="242"/>
      <c r="Q4" s="242"/>
      <c r="R4" s="242"/>
      <c r="S4" s="242"/>
      <c r="T4" s="242"/>
    </row>
    <row r="5" spans="1:20" ht="15" customHeight="1">
      <c r="B5" s="52"/>
      <c r="C5" s="52"/>
    </row>
    <row r="6" spans="1:20">
      <c r="R6" s="251" t="s">
        <v>11</v>
      </c>
      <c r="S6" s="251"/>
      <c r="T6" s="251"/>
    </row>
    <row r="7" spans="1:20" s="9" customFormat="1" ht="19.5" customHeight="1">
      <c r="A7" s="245" t="s">
        <v>0</v>
      </c>
      <c r="B7" s="245" t="s">
        <v>36</v>
      </c>
      <c r="C7" s="245" t="s">
        <v>300</v>
      </c>
      <c r="D7" s="245" t="s">
        <v>1</v>
      </c>
      <c r="E7" s="248" t="s">
        <v>32</v>
      </c>
      <c r="F7" s="252"/>
      <c r="G7" s="252"/>
      <c r="H7" s="252"/>
      <c r="I7" s="252"/>
      <c r="J7" s="252"/>
      <c r="K7" s="252"/>
      <c r="L7" s="249"/>
      <c r="M7" s="248" t="s">
        <v>28</v>
      </c>
      <c r="N7" s="252"/>
      <c r="O7" s="252"/>
      <c r="P7" s="252"/>
      <c r="Q7" s="252"/>
      <c r="R7" s="252"/>
      <c r="S7" s="252"/>
      <c r="T7" s="249"/>
    </row>
    <row r="8" spans="1:20" s="9" customFormat="1" ht="121.5" customHeight="1">
      <c r="A8" s="246"/>
      <c r="B8" s="246"/>
      <c r="C8" s="246"/>
      <c r="D8" s="246"/>
      <c r="E8" s="245" t="s">
        <v>2</v>
      </c>
      <c r="F8" s="248" t="s">
        <v>3</v>
      </c>
      <c r="G8" s="249"/>
      <c r="H8" s="245" t="s">
        <v>37</v>
      </c>
      <c r="I8" s="245" t="s">
        <v>33</v>
      </c>
      <c r="J8" s="245" t="s">
        <v>6</v>
      </c>
      <c r="K8" s="248" t="s">
        <v>38</v>
      </c>
      <c r="L8" s="249"/>
      <c r="M8" s="245" t="s">
        <v>2</v>
      </c>
      <c r="N8" s="248" t="s">
        <v>3</v>
      </c>
      <c r="O8" s="249"/>
      <c r="P8" s="245" t="s">
        <v>39</v>
      </c>
      <c r="Q8" s="245" t="s">
        <v>5</v>
      </c>
      <c r="R8" s="245" t="s">
        <v>6</v>
      </c>
      <c r="S8" s="248" t="s">
        <v>38</v>
      </c>
      <c r="T8" s="249"/>
    </row>
    <row r="9" spans="1:20" s="9" customFormat="1" ht="13.9" customHeight="1">
      <c r="A9" s="246"/>
      <c r="B9" s="246"/>
      <c r="C9" s="246"/>
      <c r="D9" s="246"/>
      <c r="E9" s="246"/>
      <c r="F9" s="245" t="s">
        <v>4</v>
      </c>
      <c r="G9" s="245" t="s">
        <v>40</v>
      </c>
      <c r="H9" s="246"/>
      <c r="I9" s="246"/>
      <c r="J9" s="246"/>
      <c r="K9" s="245" t="s">
        <v>4</v>
      </c>
      <c r="L9" s="245" t="s">
        <v>40</v>
      </c>
      <c r="M9" s="246"/>
      <c r="N9" s="245" t="s">
        <v>4</v>
      </c>
      <c r="O9" s="245" t="s">
        <v>40</v>
      </c>
      <c r="P9" s="246"/>
      <c r="Q9" s="246"/>
      <c r="R9" s="246"/>
      <c r="S9" s="245" t="s">
        <v>4</v>
      </c>
      <c r="T9" s="245" t="s">
        <v>40</v>
      </c>
    </row>
    <row r="10" spans="1:20" s="9" customFormat="1" ht="49.5" customHeight="1">
      <c r="A10" s="247"/>
      <c r="B10" s="247"/>
      <c r="C10" s="247"/>
      <c r="D10" s="247"/>
      <c r="E10" s="247"/>
      <c r="F10" s="247"/>
      <c r="G10" s="247"/>
      <c r="H10" s="247"/>
      <c r="I10" s="247"/>
      <c r="J10" s="247"/>
      <c r="K10" s="247"/>
      <c r="L10" s="247"/>
      <c r="M10" s="247"/>
      <c r="N10" s="247"/>
      <c r="O10" s="247"/>
      <c r="P10" s="247"/>
      <c r="Q10" s="247"/>
      <c r="R10" s="247"/>
      <c r="S10" s="247"/>
      <c r="T10" s="247"/>
    </row>
    <row r="11" spans="1:20" ht="28.5" customHeight="1">
      <c r="A11" s="4">
        <v>1</v>
      </c>
      <c r="B11" s="4">
        <v>2</v>
      </c>
      <c r="C11" s="4"/>
      <c r="D11" s="4" t="s">
        <v>31</v>
      </c>
      <c r="E11" s="4">
        <v>4</v>
      </c>
      <c r="F11" s="4">
        <v>5</v>
      </c>
      <c r="G11" s="49">
        <v>6</v>
      </c>
      <c r="H11" s="4">
        <v>7</v>
      </c>
      <c r="I11" s="4">
        <v>8</v>
      </c>
      <c r="J11" s="4">
        <v>9</v>
      </c>
      <c r="K11" s="4">
        <v>10</v>
      </c>
      <c r="L11" s="4">
        <v>11</v>
      </c>
      <c r="M11" s="4">
        <v>12</v>
      </c>
      <c r="N11" s="4">
        <v>13</v>
      </c>
      <c r="O11" s="4">
        <v>14</v>
      </c>
      <c r="P11" s="4">
        <v>15</v>
      </c>
      <c r="Q11" s="4">
        <v>16</v>
      </c>
      <c r="R11" s="4">
        <v>17</v>
      </c>
      <c r="S11" s="4">
        <v>18</v>
      </c>
      <c r="T11" s="4">
        <v>19</v>
      </c>
    </row>
    <row r="12" spans="1:20" s="220" customFormat="1" ht="14.25">
      <c r="A12" s="2" t="s">
        <v>17</v>
      </c>
      <c r="B12" s="3" t="s">
        <v>23</v>
      </c>
      <c r="C12" s="3"/>
      <c r="D12" s="16">
        <f>+E12+M12</f>
        <v>13</v>
      </c>
      <c r="E12" s="2">
        <f t="shared" ref="E12:T12" si="0">+E13+E23+E35</f>
        <v>13</v>
      </c>
      <c r="F12" s="205">
        <f t="shared" si="0"/>
        <v>17.000492620000003</v>
      </c>
      <c r="G12" s="205">
        <f t="shared" si="0"/>
        <v>6.1289027549999995</v>
      </c>
      <c r="H12" s="205">
        <f t="shared" si="0"/>
        <v>16.143115565999999</v>
      </c>
      <c r="I12" s="205">
        <f t="shared" si="0"/>
        <v>9.9306603300000003</v>
      </c>
      <c r="J12" s="205">
        <f t="shared" si="0"/>
        <v>15.276604108999999</v>
      </c>
      <c r="K12" s="205">
        <f t="shared" si="0"/>
        <v>3.9253147550000005</v>
      </c>
      <c r="L12" s="205">
        <f t="shared" si="0"/>
        <v>2.20874294</v>
      </c>
      <c r="M12" s="205">
        <f t="shared" si="0"/>
        <v>0</v>
      </c>
      <c r="N12" s="50">
        <f t="shared" si="0"/>
        <v>0</v>
      </c>
      <c r="O12" s="50">
        <f t="shared" si="0"/>
        <v>0</v>
      </c>
      <c r="P12" s="50">
        <f t="shared" si="0"/>
        <v>0</v>
      </c>
      <c r="Q12" s="50">
        <f t="shared" si="0"/>
        <v>0</v>
      </c>
      <c r="R12" s="20">
        <f t="shared" si="0"/>
        <v>0</v>
      </c>
      <c r="S12" s="20">
        <f t="shared" si="0"/>
        <v>0</v>
      </c>
      <c r="T12" s="20">
        <f t="shared" si="0"/>
        <v>0</v>
      </c>
    </row>
    <row r="13" spans="1:20" s="220" customFormat="1" ht="14.25">
      <c r="A13" s="2" t="s">
        <v>7</v>
      </c>
      <c r="B13" s="3" t="s">
        <v>29</v>
      </c>
      <c r="C13" s="3"/>
      <c r="D13" s="16">
        <f>+E13+M13</f>
        <v>7</v>
      </c>
      <c r="E13" s="2">
        <f t="shared" ref="E13:T13" si="1">+E14+E22</f>
        <v>7</v>
      </c>
      <c r="F13" s="205">
        <f t="shared" si="1"/>
        <v>2.7662707690000001</v>
      </c>
      <c r="G13" s="205">
        <f t="shared" si="1"/>
        <v>0.78443999999999992</v>
      </c>
      <c r="H13" s="205">
        <f t="shared" si="1"/>
        <v>2.6407023459999999</v>
      </c>
      <c r="I13" s="205">
        <f t="shared" si="1"/>
        <v>2.6361648660000001</v>
      </c>
      <c r="J13" s="205">
        <f t="shared" si="1"/>
        <v>2.636074866</v>
      </c>
      <c r="K13" s="205">
        <f t="shared" si="1"/>
        <v>9.0000000000090008E-5</v>
      </c>
      <c r="L13" s="205">
        <f t="shared" si="1"/>
        <v>3.999999999999837E-5</v>
      </c>
      <c r="M13" s="50">
        <f t="shared" si="1"/>
        <v>0</v>
      </c>
      <c r="N13" s="205">
        <f t="shared" si="1"/>
        <v>0</v>
      </c>
      <c r="O13" s="205">
        <f t="shared" si="1"/>
        <v>0</v>
      </c>
      <c r="P13" s="205">
        <f t="shared" si="1"/>
        <v>0</v>
      </c>
      <c r="Q13" s="205">
        <f t="shared" si="1"/>
        <v>0</v>
      </c>
      <c r="R13" s="25">
        <f t="shared" si="1"/>
        <v>0</v>
      </c>
      <c r="S13" s="25">
        <f t="shared" si="1"/>
        <v>0</v>
      </c>
      <c r="T13" s="25">
        <f t="shared" si="1"/>
        <v>0</v>
      </c>
    </row>
    <row r="14" spans="1:20" s="221" customFormat="1">
      <c r="A14" s="14">
        <v>1</v>
      </c>
      <c r="B14" s="15" t="s">
        <v>12</v>
      </c>
      <c r="C14" s="15"/>
      <c r="D14" s="51">
        <f>+E14+M14</f>
        <v>7</v>
      </c>
      <c r="E14" s="14">
        <f t="shared" ref="E14:T14" si="2">+SUM(E15:E21)</f>
        <v>7</v>
      </c>
      <c r="F14" s="206">
        <f t="shared" si="2"/>
        <v>2.7662707690000001</v>
      </c>
      <c r="G14" s="206">
        <f t="shared" si="2"/>
        <v>0.78443999999999992</v>
      </c>
      <c r="H14" s="206">
        <f t="shared" si="2"/>
        <v>2.6407023459999999</v>
      </c>
      <c r="I14" s="206">
        <f t="shared" si="2"/>
        <v>2.6361648660000001</v>
      </c>
      <c r="J14" s="206">
        <f t="shared" si="2"/>
        <v>2.636074866</v>
      </c>
      <c r="K14" s="206">
        <f t="shared" si="2"/>
        <v>9.0000000000090008E-5</v>
      </c>
      <c r="L14" s="206">
        <f t="shared" si="2"/>
        <v>3.999999999999837E-5</v>
      </c>
      <c r="M14" s="206">
        <f t="shared" si="2"/>
        <v>0</v>
      </c>
      <c r="N14" s="206">
        <f t="shared" si="2"/>
        <v>0</v>
      </c>
      <c r="O14" s="206">
        <f t="shared" si="2"/>
        <v>0</v>
      </c>
      <c r="P14" s="206">
        <f t="shared" si="2"/>
        <v>0</v>
      </c>
      <c r="Q14" s="206">
        <f t="shared" si="2"/>
        <v>0</v>
      </c>
      <c r="R14" s="22">
        <f t="shared" si="2"/>
        <v>0</v>
      </c>
      <c r="S14" s="22">
        <f t="shared" si="2"/>
        <v>0</v>
      </c>
      <c r="T14" s="22">
        <f t="shared" si="2"/>
        <v>0</v>
      </c>
    </row>
    <row r="15" spans="1:20" ht="30">
      <c r="A15" s="158" t="s">
        <v>320</v>
      </c>
      <c r="B15" s="159" t="s">
        <v>304</v>
      </c>
      <c r="C15" s="159" t="s">
        <v>305</v>
      </c>
      <c r="D15" s="196"/>
      <c r="E15" s="196">
        <v>1</v>
      </c>
      <c r="F15" s="171">
        <v>1.131147788</v>
      </c>
      <c r="G15" s="171"/>
      <c r="H15" s="171">
        <v>1.0878743909999999</v>
      </c>
      <c r="I15" s="171">
        <v>1.083388</v>
      </c>
      <c r="J15" s="204">
        <v>1.0833379999999999</v>
      </c>
      <c r="K15" s="160">
        <f t="shared" ref="K15:K16" si="3">+I15-J15</f>
        <v>5.0000000000105516E-5</v>
      </c>
      <c r="L15" s="197"/>
      <c r="M15" s="198"/>
      <c r="N15" s="199"/>
      <c r="O15" s="199"/>
      <c r="P15" s="199"/>
      <c r="Q15" s="199"/>
      <c r="R15" s="199"/>
      <c r="S15" s="199"/>
      <c r="T15" s="199"/>
    </row>
    <row r="16" spans="1:20" ht="30">
      <c r="A16" s="174" t="s">
        <v>321</v>
      </c>
      <c r="B16" s="194" t="s">
        <v>306</v>
      </c>
      <c r="C16" s="194" t="s">
        <v>305</v>
      </c>
      <c r="D16" s="200"/>
      <c r="E16" s="200">
        <v>1</v>
      </c>
      <c r="F16" s="177">
        <v>0.55796394400000004</v>
      </c>
      <c r="G16" s="177">
        <v>0.2044</v>
      </c>
      <c r="H16" s="177">
        <v>0.52806319599999996</v>
      </c>
      <c r="I16" s="177">
        <v>0.52801308700000005</v>
      </c>
      <c r="J16" s="177">
        <v>0.52801308700000005</v>
      </c>
      <c r="K16" s="148">
        <f t="shared" si="3"/>
        <v>0</v>
      </c>
      <c r="L16" s="201"/>
      <c r="M16" s="202"/>
      <c r="N16" s="203"/>
      <c r="O16" s="203"/>
      <c r="P16" s="203"/>
      <c r="Q16" s="203"/>
      <c r="R16" s="203"/>
      <c r="S16" s="203"/>
      <c r="T16" s="203"/>
    </row>
    <row r="17" spans="1:20" ht="30">
      <c r="A17" s="174" t="s">
        <v>322</v>
      </c>
      <c r="B17" s="194" t="s">
        <v>307</v>
      </c>
      <c r="C17" s="194" t="s">
        <v>305</v>
      </c>
      <c r="D17" s="200"/>
      <c r="E17" s="200">
        <v>1</v>
      </c>
      <c r="F17" s="177">
        <v>0.110978991</v>
      </c>
      <c r="G17" s="177">
        <v>0.1</v>
      </c>
      <c r="H17" s="177">
        <v>0.10562690800000001</v>
      </c>
      <c r="I17" s="177">
        <v>0.10562657</v>
      </c>
      <c r="J17" s="177">
        <v>0.10562657</v>
      </c>
      <c r="K17" s="148">
        <f t="shared" ref="K17" si="4">+I17-J17</f>
        <v>0</v>
      </c>
      <c r="L17" s="201"/>
      <c r="M17" s="202"/>
      <c r="N17" s="203"/>
      <c r="O17" s="203"/>
      <c r="P17" s="203"/>
      <c r="Q17" s="203"/>
      <c r="R17" s="203"/>
      <c r="S17" s="203"/>
      <c r="T17" s="203"/>
    </row>
    <row r="18" spans="1:20" ht="30">
      <c r="A18" s="174" t="s">
        <v>323</v>
      </c>
      <c r="B18" s="194" t="s">
        <v>308</v>
      </c>
      <c r="C18" s="194" t="s">
        <v>305</v>
      </c>
      <c r="D18" s="200"/>
      <c r="E18" s="200">
        <v>1</v>
      </c>
      <c r="F18" s="177">
        <v>0.11964815099999999</v>
      </c>
      <c r="G18" s="177">
        <v>0.1</v>
      </c>
      <c r="H18" s="177">
        <v>0.113876618</v>
      </c>
      <c r="I18" s="177">
        <v>0.113876596</v>
      </c>
      <c r="J18" s="177">
        <v>0.113876596</v>
      </c>
      <c r="K18" s="148">
        <f t="shared" ref="K18" si="5">+I18-J18</f>
        <v>0</v>
      </c>
      <c r="L18" s="201"/>
      <c r="M18" s="202"/>
      <c r="N18" s="203"/>
      <c r="O18" s="203"/>
      <c r="P18" s="203"/>
      <c r="Q18" s="203"/>
      <c r="R18" s="203"/>
      <c r="S18" s="203"/>
      <c r="T18" s="203"/>
    </row>
    <row r="19" spans="1:20" ht="30">
      <c r="A19" s="174" t="s">
        <v>324</v>
      </c>
      <c r="B19" s="194" t="s">
        <v>309</v>
      </c>
      <c r="C19" s="194" t="s">
        <v>305</v>
      </c>
      <c r="D19" s="200"/>
      <c r="E19" s="200">
        <v>1</v>
      </c>
      <c r="F19" s="177">
        <v>0.12565812900000001</v>
      </c>
      <c r="G19" s="177">
        <v>0.1</v>
      </c>
      <c r="H19" s="177">
        <v>0.119419867</v>
      </c>
      <c r="I19" s="177">
        <v>0.119419866</v>
      </c>
      <c r="J19" s="177">
        <v>0.119419866</v>
      </c>
      <c r="K19" s="148">
        <f t="shared" ref="K19" si="6">+I19-J19</f>
        <v>0</v>
      </c>
      <c r="L19" s="201"/>
      <c r="M19" s="202"/>
      <c r="N19" s="203"/>
      <c r="O19" s="203"/>
      <c r="P19" s="203"/>
      <c r="Q19" s="203"/>
      <c r="R19" s="203"/>
      <c r="S19" s="203"/>
      <c r="T19" s="203"/>
    </row>
    <row r="20" spans="1:20" ht="30">
      <c r="A20" s="174" t="s">
        <v>325</v>
      </c>
      <c r="B20" s="194" t="s">
        <v>310</v>
      </c>
      <c r="C20" s="194" t="s">
        <v>305</v>
      </c>
      <c r="D20" s="200"/>
      <c r="E20" s="200">
        <v>1</v>
      </c>
      <c r="F20" s="177">
        <v>0.503547419</v>
      </c>
      <c r="G20" s="177">
        <v>0.2</v>
      </c>
      <c r="H20" s="177">
        <v>0.47886389299999998</v>
      </c>
      <c r="I20" s="177">
        <v>0.47886389200000001</v>
      </c>
      <c r="J20" s="177">
        <v>0.47886389200000001</v>
      </c>
      <c r="K20" s="148">
        <f t="shared" ref="K20" si="7">+I20-J20</f>
        <v>0</v>
      </c>
      <c r="L20" s="201"/>
      <c r="M20" s="202"/>
      <c r="N20" s="203"/>
      <c r="O20" s="203"/>
      <c r="P20" s="203"/>
      <c r="Q20" s="203"/>
      <c r="R20" s="203"/>
      <c r="S20" s="203"/>
      <c r="T20" s="203"/>
    </row>
    <row r="21" spans="1:20" ht="30">
      <c r="A21" s="182" t="s">
        <v>326</v>
      </c>
      <c r="B21" s="162" t="s">
        <v>311</v>
      </c>
      <c r="C21" s="162" t="s">
        <v>305</v>
      </c>
      <c r="D21" s="223"/>
      <c r="E21" s="223">
        <v>1</v>
      </c>
      <c r="F21" s="185">
        <v>0.217326347</v>
      </c>
      <c r="G21" s="185">
        <v>8.004E-2</v>
      </c>
      <c r="H21" s="185">
        <v>0.206977473</v>
      </c>
      <c r="I21" s="185">
        <v>0.20697685499999999</v>
      </c>
      <c r="J21" s="185">
        <v>0.206936855</v>
      </c>
      <c r="K21" s="163">
        <f t="shared" ref="K21" si="8">+I21-J21</f>
        <v>3.9999999999984492E-5</v>
      </c>
      <c r="L21" s="163">
        <f>+G21-0.08</f>
        <v>3.999999999999837E-5</v>
      </c>
      <c r="M21" s="224"/>
      <c r="N21" s="225"/>
      <c r="O21" s="225"/>
      <c r="P21" s="225"/>
      <c r="Q21" s="225"/>
      <c r="R21" s="225"/>
      <c r="S21" s="225"/>
      <c r="T21" s="225"/>
    </row>
    <row r="22" spans="1:20" s="157" customFormat="1">
      <c r="A22" s="18">
        <v>2</v>
      </c>
      <c r="B22" s="156" t="s">
        <v>13</v>
      </c>
      <c r="C22" s="156"/>
      <c r="D22" s="26"/>
      <c r="E22" s="26"/>
      <c r="F22" s="26"/>
      <c r="G22" s="26"/>
      <c r="H22" s="26"/>
      <c r="I22" s="26"/>
      <c r="J22" s="26"/>
      <c r="K22" s="26"/>
      <c r="L22" s="26"/>
      <c r="M22" s="26"/>
      <c r="N22" s="26"/>
      <c r="O22" s="26"/>
      <c r="P22" s="26"/>
      <c r="Q22" s="26"/>
      <c r="R22" s="26"/>
      <c r="S22" s="26"/>
      <c r="T22" s="26"/>
    </row>
    <row r="23" spans="1:20" s="220" customFormat="1" ht="29.25" customHeight="1">
      <c r="A23" s="2" t="s">
        <v>8</v>
      </c>
      <c r="B23" s="3" t="s">
        <v>30</v>
      </c>
      <c r="C23" s="3"/>
      <c r="D23" s="16">
        <f>+E23+M23</f>
        <v>0</v>
      </c>
      <c r="E23" s="2">
        <f t="shared" ref="E23:T23" si="9">+E26+E31</f>
        <v>0</v>
      </c>
      <c r="F23" s="25">
        <f t="shared" si="9"/>
        <v>0</v>
      </c>
      <c r="G23" s="25">
        <f t="shared" si="9"/>
        <v>0</v>
      </c>
      <c r="H23" s="25">
        <f t="shared" si="9"/>
        <v>0</v>
      </c>
      <c r="I23" s="25">
        <f t="shared" si="9"/>
        <v>0</v>
      </c>
      <c r="J23" s="25">
        <f t="shared" si="9"/>
        <v>0</v>
      </c>
      <c r="K23" s="25">
        <f t="shared" si="9"/>
        <v>0</v>
      </c>
      <c r="L23" s="25">
        <f t="shared" si="9"/>
        <v>0</v>
      </c>
      <c r="M23" s="2">
        <f t="shared" si="9"/>
        <v>0</v>
      </c>
      <c r="N23" s="20">
        <f t="shared" si="9"/>
        <v>0</v>
      </c>
      <c r="O23" s="20">
        <f t="shared" si="9"/>
        <v>0</v>
      </c>
      <c r="P23" s="20">
        <f t="shared" si="9"/>
        <v>0</v>
      </c>
      <c r="Q23" s="20">
        <f t="shared" si="9"/>
        <v>0</v>
      </c>
      <c r="R23" s="20">
        <f t="shared" si="9"/>
        <v>0</v>
      </c>
      <c r="S23" s="20">
        <f t="shared" si="9"/>
        <v>0</v>
      </c>
      <c r="T23" s="20">
        <f t="shared" si="9"/>
        <v>0</v>
      </c>
    </row>
    <row r="24" spans="1:20">
      <c r="A24" s="2"/>
      <c r="B24" s="5" t="s">
        <v>15</v>
      </c>
      <c r="C24" s="5"/>
      <c r="D24" s="4"/>
      <c r="E24" s="4">
        <f>+E27</f>
        <v>0</v>
      </c>
      <c r="F24" s="12">
        <f>+F27+F32</f>
        <v>0</v>
      </c>
      <c r="G24" s="12">
        <f t="shared" ref="G24:T24" si="10">+G27+G32</f>
        <v>0</v>
      </c>
      <c r="H24" s="12">
        <f t="shared" si="10"/>
        <v>0</v>
      </c>
      <c r="I24" s="12">
        <f t="shared" si="10"/>
        <v>0</v>
      </c>
      <c r="J24" s="12">
        <f t="shared" si="10"/>
        <v>0</v>
      </c>
      <c r="K24" s="12">
        <f t="shared" si="10"/>
        <v>0</v>
      </c>
      <c r="L24" s="12">
        <f t="shared" si="10"/>
        <v>0</v>
      </c>
      <c r="M24" s="12">
        <f t="shared" si="10"/>
        <v>0</v>
      </c>
      <c r="N24" s="12">
        <f t="shared" si="10"/>
        <v>0</v>
      </c>
      <c r="O24" s="12">
        <f t="shared" si="10"/>
        <v>0</v>
      </c>
      <c r="P24" s="12">
        <f t="shared" si="10"/>
        <v>0</v>
      </c>
      <c r="Q24" s="12">
        <f t="shared" si="10"/>
        <v>0</v>
      </c>
      <c r="R24" s="12">
        <f t="shared" si="10"/>
        <v>0</v>
      </c>
      <c r="S24" s="12">
        <f t="shared" si="10"/>
        <v>0</v>
      </c>
      <c r="T24" s="12">
        <f t="shared" si="10"/>
        <v>0</v>
      </c>
    </row>
    <row r="25" spans="1:20">
      <c r="A25" s="2"/>
      <c r="B25" s="5" t="s">
        <v>14</v>
      </c>
      <c r="C25" s="5"/>
      <c r="D25" s="17">
        <f>+E25+M25</f>
        <v>0</v>
      </c>
      <c r="E25" s="4">
        <f t="shared" ref="E25:T25" si="11">+E29+E33</f>
        <v>0</v>
      </c>
      <c r="F25" s="12">
        <f t="shared" si="11"/>
        <v>0</v>
      </c>
      <c r="G25" s="12">
        <f t="shared" si="11"/>
        <v>0</v>
      </c>
      <c r="H25" s="12">
        <f t="shared" si="11"/>
        <v>0</v>
      </c>
      <c r="I25" s="12">
        <f t="shared" si="11"/>
        <v>0</v>
      </c>
      <c r="J25" s="12">
        <f t="shared" si="11"/>
        <v>0</v>
      </c>
      <c r="K25" s="12">
        <f t="shared" si="11"/>
        <v>0</v>
      </c>
      <c r="L25" s="12">
        <f t="shared" si="11"/>
        <v>0</v>
      </c>
      <c r="M25" s="12">
        <f t="shared" si="11"/>
        <v>0</v>
      </c>
      <c r="N25" s="12">
        <f t="shared" si="11"/>
        <v>0</v>
      </c>
      <c r="O25" s="12">
        <f t="shared" si="11"/>
        <v>0</v>
      </c>
      <c r="P25" s="12">
        <f t="shared" si="11"/>
        <v>0</v>
      </c>
      <c r="Q25" s="12">
        <f t="shared" si="11"/>
        <v>0</v>
      </c>
      <c r="R25" s="12">
        <f t="shared" si="11"/>
        <v>0</v>
      </c>
      <c r="S25" s="12">
        <f t="shared" si="11"/>
        <v>0</v>
      </c>
      <c r="T25" s="12">
        <f t="shared" si="11"/>
        <v>0</v>
      </c>
    </row>
    <row r="26" spans="1:20" s="221" customFormat="1">
      <c r="A26" s="14">
        <v>1</v>
      </c>
      <c r="B26" s="15" t="s">
        <v>12</v>
      </c>
      <c r="C26" s="15"/>
      <c r="D26" s="19">
        <f>+E26+M26</f>
        <v>0</v>
      </c>
      <c r="E26" s="14">
        <f>+E29+E27</f>
        <v>0</v>
      </c>
      <c r="F26" s="26">
        <f t="shared" ref="F26:T26" si="12">+F29+F27</f>
        <v>0</v>
      </c>
      <c r="G26" s="26">
        <f t="shared" si="12"/>
        <v>0</v>
      </c>
      <c r="H26" s="26">
        <f t="shared" si="12"/>
        <v>0</v>
      </c>
      <c r="I26" s="26">
        <f t="shared" si="12"/>
        <v>0</v>
      </c>
      <c r="J26" s="26">
        <f t="shared" si="12"/>
        <v>0</v>
      </c>
      <c r="K26" s="26">
        <f t="shared" si="12"/>
        <v>0</v>
      </c>
      <c r="L26" s="26">
        <f t="shared" si="12"/>
        <v>0</v>
      </c>
      <c r="M26" s="26">
        <f t="shared" si="12"/>
        <v>0</v>
      </c>
      <c r="N26" s="26">
        <f t="shared" si="12"/>
        <v>0</v>
      </c>
      <c r="O26" s="26">
        <f t="shared" si="12"/>
        <v>0</v>
      </c>
      <c r="P26" s="26">
        <f t="shared" si="12"/>
        <v>0</v>
      </c>
      <c r="Q26" s="26">
        <f t="shared" si="12"/>
        <v>0</v>
      </c>
      <c r="R26" s="26">
        <f t="shared" si="12"/>
        <v>0</v>
      </c>
      <c r="S26" s="26">
        <f t="shared" si="12"/>
        <v>0</v>
      </c>
      <c r="T26" s="26">
        <f t="shared" si="12"/>
        <v>0</v>
      </c>
    </row>
    <row r="27" spans="1:20">
      <c r="A27" s="4"/>
      <c r="B27" s="5" t="s">
        <v>15</v>
      </c>
      <c r="C27" s="5"/>
      <c r="D27" s="4"/>
      <c r="E27" s="4">
        <f>+SUM(E28)</f>
        <v>0</v>
      </c>
      <c r="F27" s="12">
        <f t="shared" ref="F27:T27" si="13">+SUM(F28)</f>
        <v>0</v>
      </c>
      <c r="G27" s="12">
        <f t="shared" si="13"/>
        <v>0</v>
      </c>
      <c r="H27" s="12">
        <f t="shared" si="13"/>
        <v>0</v>
      </c>
      <c r="I27" s="12">
        <f t="shared" si="13"/>
        <v>0</v>
      </c>
      <c r="J27" s="12">
        <f t="shared" si="13"/>
        <v>0</v>
      </c>
      <c r="K27" s="12">
        <f t="shared" si="13"/>
        <v>0</v>
      </c>
      <c r="L27" s="12">
        <f t="shared" si="13"/>
        <v>0</v>
      </c>
      <c r="M27" s="12">
        <f t="shared" si="13"/>
        <v>0</v>
      </c>
      <c r="N27" s="12">
        <f t="shared" si="13"/>
        <v>0</v>
      </c>
      <c r="O27" s="12">
        <f t="shared" si="13"/>
        <v>0</v>
      </c>
      <c r="P27" s="12">
        <f t="shared" si="13"/>
        <v>0</v>
      </c>
      <c r="Q27" s="12">
        <f t="shared" si="13"/>
        <v>0</v>
      </c>
      <c r="R27" s="12">
        <f t="shared" si="13"/>
        <v>0</v>
      </c>
      <c r="S27" s="12">
        <f t="shared" si="13"/>
        <v>0</v>
      </c>
      <c r="T27" s="12">
        <f t="shared" si="13"/>
        <v>0</v>
      </c>
    </row>
    <row r="28" spans="1:20">
      <c r="A28" s="4"/>
      <c r="B28" s="145"/>
      <c r="C28" s="152"/>
      <c r="D28" s="4"/>
      <c r="E28" s="4"/>
      <c r="F28" s="27"/>
      <c r="G28" s="27"/>
      <c r="H28" s="27"/>
      <c r="I28" s="27"/>
      <c r="J28" s="27"/>
      <c r="K28" s="12"/>
      <c r="L28" s="12"/>
      <c r="M28" s="12"/>
      <c r="N28" s="12"/>
      <c r="O28" s="12"/>
      <c r="P28" s="12"/>
      <c r="Q28" s="12"/>
      <c r="R28" s="12"/>
      <c r="S28" s="12"/>
      <c r="T28" s="12"/>
    </row>
    <row r="29" spans="1:20">
      <c r="A29" s="4"/>
      <c r="B29" s="5" t="s">
        <v>14</v>
      </c>
      <c r="C29" s="5"/>
      <c r="D29" s="17"/>
      <c r="E29" s="4">
        <f t="shared" ref="E29:T29" si="14">+SUM(E30:E30)</f>
        <v>0</v>
      </c>
      <c r="F29" s="12">
        <f t="shared" si="14"/>
        <v>0</v>
      </c>
      <c r="G29" s="12">
        <f t="shared" si="14"/>
        <v>0</v>
      </c>
      <c r="H29" s="12">
        <f t="shared" si="14"/>
        <v>0</v>
      </c>
      <c r="I29" s="12">
        <f t="shared" si="14"/>
        <v>0</v>
      </c>
      <c r="J29" s="12">
        <f t="shared" si="14"/>
        <v>0</v>
      </c>
      <c r="K29" s="12">
        <f t="shared" si="14"/>
        <v>0</v>
      </c>
      <c r="L29" s="12">
        <f t="shared" si="14"/>
        <v>0</v>
      </c>
      <c r="M29" s="12">
        <f t="shared" si="14"/>
        <v>0</v>
      </c>
      <c r="N29" s="12">
        <f t="shared" si="14"/>
        <v>0</v>
      </c>
      <c r="O29" s="12">
        <f t="shared" si="14"/>
        <v>0</v>
      </c>
      <c r="P29" s="12">
        <f t="shared" si="14"/>
        <v>0</v>
      </c>
      <c r="Q29" s="12">
        <f t="shared" si="14"/>
        <v>0</v>
      </c>
      <c r="R29" s="12">
        <f t="shared" si="14"/>
        <v>0</v>
      </c>
      <c r="S29" s="12">
        <f t="shared" si="14"/>
        <v>0</v>
      </c>
      <c r="T29" s="12">
        <f t="shared" si="14"/>
        <v>0</v>
      </c>
    </row>
    <row r="30" spans="1:20">
      <c r="A30" s="4"/>
      <c r="B30" s="146"/>
      <c r="C30" s="153"/>
      <c r="D30" s="4"/>
      <c r="E30" s="226"/>
      <c r="F30" s="27"/>
      <c r="G30" s="27"/>
      <c r="H30" s="27"/>
      <c r="I30" s="27"/>
      <c r="J30" s="27"/>
      <c r="K30" s="28"/>
      <c r="L30" s="12"/>
      <c r="M30" s="12"/>
      <c r="N30" s="12"/>
      <c r="O30" s="12"/>
      <c r="P30" s="12"/>
      <c r="Q30" s="12"/>
      <c r="R30" s="12"/>
      <c r="S30" s="12"/>
      <c r="T30" s="12"/>
    </row>
    <row r="31" spans="1:20" s="221" customFormat="1">
      <c r="A31" s="14">
        <v>2</v>
      </c>
      <c r="B31" s="15" t="s">
        <v>13</v>
      </c>
      <c r="C31" s="15"/>
      <c r="D31" s="19">
        <f>+E31+M31</f>
        <v>0</v>
      </c>
      <c r="E31" s="14">
        <f>+E33</f>
        <v>0</v>
      </c>
      <c r="F31" s="26">
        <f t="shared" ref="F31:T31" si="15">+F33</f>
        <v>0</v>
      </c>
      <c r="G31" s="26">
        <f t="shared" si="15"/>
        <v>0</v>
      </c>
      <c r="H31" s="26">
        <f t="shared" si="15"/>
        <v>0</v>
      </c>
      <c r="I31" s="26">
        <f t="shared" si="15"/>
        <v>0</v>
      </c>
      <c r="J31" s="26">
        <f t="shared" si="15"/>
        <v>0</v>
      </c>
      <c r="K31" s="26">
        <f t="shared" si="15"/>
        <v>0</v>
      </c>
      <c r="L31" s="26">
        <f t="shared" si="15"/>
        <v>0</v>
      </c>
      <c r="M31" s="26">
        <f t="shared" si="15"/>
        <v>0</v>
      </c>
      <c r="N31" s="26">
        <f t="shared" si="15"/>
        <v>0</v>
      </c>
      <c r="O31" s="26">
        <f t="shared" si="15"/>
        <v>0</v>
      </c>
      <c r="P31" s="26">
        <f t="shared" si="15"/>
        <v>0</v>
      </c>
      <c r="Q31" s="26">
        <f t="shared" si="15"/>
        <v>0</v>
      </c>
      <c r="R31" s="26">
        <f t="shared" si="15"/>
        <v>0</v>
      </c>
      <c r="S31" s="26">
        <f t="shared" si="15"/>
        <v>0</v>
      </c>
      <c r="T31" s="26">
        <f t="shared" si="15"/>
        <v>0</v>
      </c>
    </row>
    <row r="32" spans="1:20">
      <c r="A32" s="4"/>
      <c r="B32" s="5" t="s">
        <v>15</v>
      </c>
      <c r="C32" s="5"/>
      <c r="D32" s="4"/>
      <c r="E32" s="4"/>
      <c r="F32" s="12"/>
      <c r="G32" s="12"/>
      <c r="H32" s="12"/>
      <c r="I32" s="12"/>
      <c r="J32" s="12"/>
      <c r="K32" s="12"/>
      <c r="L32" s="12"/>
      <c r="M32" s="11"/>
      <c r="N32" s="21"/>
      <c r="O32" s="21"/>
      <c r="P32" s="21"/>
      <c r="Q32" s="21"/>
      <c r="R32" s="21"/>
      <c r="S32" s="21"/>
      <c r="T32" s="21"/>
    </row>
    <row r="33" spans="1:20">
      <c r="A33" s="4"/>
      <c r="B33" s="5" t="s">
        <v>14</v>
      </c>
      <c r="C33" s="5"/>
      <c r="D33" s="17">
        <f>+E33+M33</f>
        <v>0</v>
      </c>
      <c r="E33" s="4">
        <f t="shared" ref="E33:L33" si="16">+SUM(E34:E34)</f>
        <v>0</v>
      </c>
      <c r="F33" s="12">
        <f t="shared" si="16"/>
        <v>0</v>
      </c>
      <c r="G33" s="12">
        <f t="shared" si="16"/>
        <v>0</v>
      </c>
      <c r="H33" s="12">
        <f t="shared" si="16"/>
        <v>0</v>
      </c>
      <c r="I33" s="12">
        <f t="shared" si="16"/>
        <v>0</v>
      </c>
      <c r="J33" s="12">
        <f t="shared" si="16"/>
        <v>0</v>
      </c>
      <c r="K33" s="12">
        <f t="shared" si="16"/>
        <v>0</v>
      </c>
      <c r="L33" s="12">
        <f t="shared" si="16"/>
        <v>0</v>
      </c>
      <c r="M33" s="11"/>
      <c r="N33" s="21"/>
      <c r="O33" s="21"/>
      <c r="P33" s="21"/>
      <c r="Q33" s="21"/>
      <c r="R33" s="21"/>
      <c r="S33" s="21"/>
      <c r="T33" s="21"/>
    </row>
    <row r="34" spans="1:20">
      <c r="A34" s="4"/>
      <c r="B34" s="147"/>
      <c r="C34" s="222"/>
      <c r="D34" s="4"/>
      <c r="E34" s="4"/>
      <c r="F34" s="144"/>
      <c r="G34" s="144"/>
      <c r="H34" s="144"/>
      <c r="I34" s="144"/>
      <c r="J34" s="144"/>
      <c r="K34" s="12"/>
      <c r="L34" s="12"/>
      <c r="M34" s="11"/>
      <c r="N34" s="21"/>
      <c r="O34" s="21"/>
      <c r="P34" s="21"/>
      <c r="Q34" s="21"/>
      <c r="R34" s="21"/>
      <c r="S34" s="21"/>
      <c r="T34" s="21"/>
    </row>
    <row r="35" spans="1:20" s="220" customFormat="1" ht="14.25">
      <c r="A35" s="2" t="s">
        <v>9</v>
      </c>
      <c r="B35" s="3" t="s">
        <v>16</v>
      </c>
      <c r="C35" s="3"/>
      <c r="D35" s="16">
        <f>+E35+M35</f>
        <v>6</v>
      </c>
      <c r="E35" s="2">
        <f t="shared" ref="E35:T35" si="17">+E36+E38</f>
        <v>6</v>
      </c>
      <c r="F35" s="205">
        <f t="shared" si="17"/>
        <v>14.234221851000001</v>
      </c>
      <c r="G35" s="205">
        <f t="shared" si="17"/>
        <v>5.3444627549999995</v>
      </c>
      <c r="H35" s="205">
        <f t="shared" si="17"/>
        <v>13.502413219999999</v>
      </c>
      <c r="I35" s="205">
        <f t="shared" si="17"/>
        <v>7.2944954639999997</v>
      </c>
      <c r="J35" s="205">
        <f t="shared" si="17"/>
        <v>12.640529243</v>
      </c>
      <c r="K35" s="205">
        <f t="shared" si="17"/>
        <v>3.9252247550000003</v>
      </c>
      <c r="L35" s="205">
        <f t="shared" si="17"/>
        <v>2.2087029400000002</v>
      </c>
      <c r="M35" s="2">
        <f t="shared" si="17"/>
        <v>0</v>
      </c>
      <c r="N35" s="20">
        <f t="shared" si="17"/>
        <v>0</v>
      </c>
      <c r="O35" s="20">
        <f t="shared" si="17"/>
        <v>0</v>
      </c>
      <c r="P35" s="20">
        <f t="shared" si="17"/>
        <v>0</v>
      </c>
      <c r="Q35" s="20">
        <f t="shared" si="17"/>
        <v>0</v>
      </c>
      <c r="R35" s="20">
        <f t="shared" si="17"/>
        <v>0</v>
      </c>
      <c r="S35" s="20">
        <f t="shared" si="17"/>
        <v>0</v>
      </c>
      <c r="T35" s="20">
        <f t="shared" si="17"/>
        <v>0</v>
      </c>
    </row>
    <row r="36" spans="1:20" s="221" customFormat="1">
      <c r="A36" s="14">
        <v>1</v>
      </c>
      <c r="B36" s="15" t="s">
        <v>12</v>
      </c>
      <c r="C36" s="15"/>
      <c r="D36" s="19">
        <f>+E36+M36</f>
        <v>0</v>
      </c>
      <c r="E36" s="14">
        <f>+E37</f>
        <v>0</v>
      </c>
      <c r="F36" s="14">
        <f t="shared" ref="F36:T36" si="18">+F37</f>
        <v>0</v>
      </c>
      <c r="G36" s="14">
        <f t="shared" si="18"/>
        <v>0</v>
      </c>
      <c r="H36" s="14">
        <f t="shared" si="18"/>
        <v>0</v>
      </c>
      <c r="I36" s="14">
        <f t="shared" si="18"/>
        <v>0</v>
      </c>
      <c r="J36" s="14">
        <f t="shared" si="18"/>
        <v>0</v>
      </c>
      <c r="K36" s="14">
        <f t="shared" si="18"/>
        <v>0</v>
      </c>
      <c r="L36" s="14">
        <f t="shared" si="18"/>
        <v>0</v>
      </c>
      <c r="M36" s="14">
        <f t="shared" si="18"/>
        <v>0</v>
      </c>
      <c r="N36" s="14">
        <f t="shared" si="18"/>
        <v>0</v>
      </c>
      <c r="O36" s="14">
        <f t="shared" si="18"/>
        <v>0</v>
      </c>
      <c r="P36" s="14">
        <f t="shared" si="18"/>
        <v>0</v>
      </c>
      <c r="Q36" s="14">
        <f t="shared" si="18"/>
        <v>0</v>
      </c>
      <c r="R36" s="14">
        <f t="shared" si="18"/>
        <v>0</v>
      </c>
      <c r="S36" s="14">
        <f t="shared" si="18"/>
        <v>0</v>
      </c>
      <c r="T36" s="14">
        <f t="shared" si="18"/>
        <v>0</v>
      </c>
    </row>
    <row r="37" spans="1:20">
      <c r="A37" s="4"/>
      <c r="B37" s="5"/>
      <c r="C37" s="5"/>
      <c r="D37" s="4"/>
      <c r="E37" s="4"/>
      <c r="F37" s="12"/>
      <c r="G37" s="12"/>
      <c r="H37" s="12"/>
      <c r="I37" s="12"/>
      <c r="J37" s="12"/>
      <c r="K37" s="12"/>
      <c r="L37" s="12"/>
      <c r="M37" s="18"/>
      <c r="N37" s="21"/>
      <c r="O37" s="21"/>
      <c r="P37" s="21"/>
      <c r="Q37" s="21"/>
      <c r="R37" s="21"/>
      <c r="S37" s="21"/>
      <c r="T37" s="21"/>
    </row>
    <row r="38" spans="1:20" s="221" customFormat="1" ht="15.75" customHeight="1">
      <c r="A38" s="14">
        <v>2</v>
      </c>
      <c r="B38" s="15" t="s">
        <v>13</v>
      </c>
      <c r="C38" s="15"/>
      <c r="D38" s="19">
        <v>6</v>
      </c>
      <c r="E38" s="14">
        <f>SUM(E39:E44)</f>
        <v>6</v>
      </c>
      <c r="F38" s="207">
        <f t="shared" ref="F38:T38" si="19">+SUM(F39:F64)</f>
        <v>14.234221851000001</v>
      </c>
      <c r="G38" s="207">
        <f t="shared" si="19"/>
        <v>5.3444627549999995</v>
      </c>
      <c r="H38" s="207">
        <f t="shared" si="19"/>
        <v>13.502413219999999</v>
      </c>
      <c r="I38" s="207">
        <f t="shared" si="19"/>
        <v>7.2944954639999997</v>
      </c>
      <c r="J38" s="207">
        <f t="shared" si="19"/>
        <v>12.640529243</v>
      </c>
      <c r="K38" s="22">
        <f t="shared" si="19"/>
        <v>3.9252247550000003</v>
      </c>
      <c r="L38" s="22">
        <f t="shared" si="19"/>
        <v>2.2087029400000002</v>
      </c>
      <c r="M38" s="22">
        <f t="shared" si="19"/>
        <v>0</v>
      </c>
      <c r="N38" s="22">
        <f t="shared" si="19"/>
        <v>0</v>
      </c>
      <c r="O38" s="22">
        <f t="shared" si="19"/>
        <v>0</v>
      </c>
      <c r="P38" s="22">
        <f t="shared" si="19"/>
        <v>0</v>
      </c>
      <c r="Q38" s="22">
        <f t="shared" si="19"/>
        <v>0</v>
      </c>
      <c r="R38" s="22">
        <f t="shared" si="19"/>
        <v>0</v>
      </c>
      <c r="S38" s="22">
        <f t="shared" si="19"/>
        <v>0</v>
      </c>
      <c r="T38" s="22">
        <f t="shared" si="19"/>
        <v>0</v>
      </c>
    </row>
    <row r="39" spans="1:20" ht="30">
      <c r="A39" s="158" t="s">
        <v>327</v>
      </c>
      <c r="B39" s="164" t="s">
        <v>317</v>
      </c>
      <c r="C39" s="159" t="s">
        <v>305</v>
      </c>
      <c r="D39" s="158"/>
      <c r="E39" s="158">
        <v>1</v>
      </c>
      <c r="F39" s="190">
        <v>0.51962445000000002</v>
      </c>
      <c r="G39" s="190">
        <v>0.2</v>
      </c>
      <c r="H39" s="190">
        <v>0.49488042900000001</v>
      </c>
      <c r="I39" s="208"/>
      <c r="J39" s="190">
        <v>0.44331300000000001</v>
      </c>
      <c r="K39" s="161">
        <v>0.44331300000000001</v>
      </c>
      <c r="L39" s="161">
        <f>H39</f>
        <v>0.49488042900000001</v>
      </c>
      <c r="M39" s="191"/>
      <c r="N39" s="192"/>
      <c r="O39" s="192"/>
      <c r="P39" s="192"/>
      <c r="Q39" s="192"/>
      <c r="R39" s="192"/>
      <c r="S39" s="192"/>
      <c r="T39" s="192"/>
    </row>
    <row r="40" spans="1:20" ht="30">
      <c r="A40" s="174" t="s">
        <v>328</v>
      </c>
      <c r="B40" s="193" t="s">
        <v>318</v>
      </c>
      <c r="C40" s="194" t="s">
        <v>305</v>
      </c>
      <c r="D40" s="174"/>
      <c r="E40" s="174">
        <v>1</v>
      </c>
      <c r="F40" s="209">
        <v>9.8477184999999995E-2</v>
      </c>
      <c r="G40" s="209">
        <v>8.6840551000000002E-2</v>
      </c>
      <c r="H40" s="209">
        <v>9.3787794999999993E-2</v>
      </c>
      <c r="I40" s="210"/>
      <c r="J40" s="209">
        <v>8.6840551000000002E-2</v>
      </c>
      <c r="K40" s="101">
        <v>8.6840551000000002E-2</v>
      </c>
      <c r="L40" s="101">
        <f>K40</f>
        <v>8.6840551000000002E-2</v>
      </c>
      <c r="M40" s="180"/>
      <c r="N40" s="181"/>
      <c r="O40" s="181"/>
      <c r="P40" s="181"/>
      <c r="Q40" s="181"/>
      <c r="R40" s="181"/>
      <c r="S40" s="181"/>
      <c r="T40" s="181"/>
    </row>
    <row r="41" spans="1:20" ht="30">
      <c r="A41" s="174" t="s">
        <v>329</v>
      </c>
      <c r="B41" s="195" t="s">
        <v>319</v>
      </c>
      <c r="C41" s="194" t="s">
        <v>305</v>
      </c>
      <c r="D41" s="174"/>
      <c r="E41" s="174">
        <v>1</v>
      </c>
      <c r="F41" s="209">
        <v>0.38251350200000001</v>
      </c>
      <c r="G41" s="209">
        <v>0.1545</v>
      </c>
      <c r="H41" s="209">
        <v>0.36429857300000001</v>
      </c>
      <c r="I41" s="210"/>
      <c r="J41" s="209">
        <v>0.25314500000000001</v>
      </c>
      <c r="K41" s="101">
        <v>0.25314500000000001</v>
      </c>
      <c r="L41" s="101">
        <v>0.1545</v>
      </c>
      <c r="M41" s="180"/>
      <c r="N41" s="181"/>
      <c r="O41" s="181"/>
      <c r="P41" s="181"/>
      <c r="Q41" s="181"/>
      <c r="R41" s="181"/>
      <c r="S41" s="181"/>
      <c r="T41" s="181"/>
    </row>
    <row r="42" spans="1:20" ht="30">
      <c r="A42" s="174" t="s">
        <v>330</v>
      </c>
      <c r="B42" s="195" t="s">
        <v>313</v>
      </c>
      <c r="C42" s="194" t="s">
        <v>305</v>
      </c>
      <c r="D42" s="174"/>
      <c r="E42" s="174">
        <v>1</v>
      </c>
      <c r="F42" s="210">
        <v>0.27331139700000001</v>
      </c>
      <c r="G42" s="210"/>
      <c r="H42" s="210">
        <v>0.25339478300000001</v>
      </c>
      <c r="I42" s="210"/>
      <c r="J42" s="211">
        <v>0.25187978300000002</v>
      </c>
      <c r="K42" s="178">
        <f>H42-J42</f>
        <v>1.5149999999999886E-3</v>
      </c>
      <c r="L42" s="148"/>
      <c r="M42" s="180"/>
      <c r="N42" s="181"/>
      <c r="O42" s="181"/>
      <c r="P42" s="181"/>
      <c r="Q42" s="181"/>
      <c r="R42" s="181"/>
      <c r="S42" s="181"/>
      <c r="T42" s="181"/>
    </row>
    <row r="43" spans="1:20" ht="30">
      <c r="A43" s="174" t="s">
        <v>331</v>
      </c>
      <c r="B43" s="195" t="s">
        <v>314</v>
      </c>
      <c r="C43" s="194" t="s">
        <v>305</v>
      </c>
      <c r="D43" s="175"/>
      <c r="E43" s="174">
        <v>1</v>
      </c>
      <c r="F43" s="210">
        <v>0.21142722899999999</v>
      </c>
      <c r="G43" s="210"/>
      <c r="H43" s="210">
        <v>0.194692315</v>
      </c>
      <c r="I43" s="210"/>
      <c r="J43" s="211">
        <v>0.193521315</v>
      </c>
      <c r="K43" s="178">
        <f t="shared" ref="K43:K44" si="20">H43-J43</f>
        <v>1.1710000000000054E-3</v>
      </c>
      <c r="L43" s="149"/>
      <c r="M43" s="180"/>
      <c r="N43" s="181"/>
      <c r="O43" s="181"/>
      <c r="P43" s="181"/>
      <c r="Q43" s="181"/>
      <c r="R43" s="181"/>
      <c r="S43" s="181"/>
      <c r="T43" s="181"/>
    </row>
    <row r="44" spans="1:20" ht="30">
      <c r="A44" s="182" t="s">
        <v>332</v>
      </c>
      <c r="B44" s="162" t="s">
        <v>315</v>
      </c>
      <c r="C44" s="162" t="s">
        <v>305</v>
      </c>
      <c r="D44" s="183"/>
      <c r="E44" s="182">
        <v>1</v>
      </c>
      <c r="F44" s="212">
        <v>0.29501460099999999</v>
      </c>
      <c r="G44" s="212"/>
      <c r="H44" s="212">
        <v>0.27110941399999999</v>
      </c>
      <c r="I44" s="212"/>
      <c r="J44" s="213">
        <v>0.269474414</v>
      </c>
      <c r="K44" s="186">
        <f t="shared" si="20"/>
        <v>1.6349999999999976E-3</v>
      </c>
      <c r="L44" s="187"/>
      <c r="M44" s="188"/>
      <c r="N44" s="189"/>
      <c r="O44" s="189"/>
      <c r="P44" s="189"/>
      <c r="Q44" s="189"/>
      <c r="R44" s="189"/>
      <c r="S44" s="189"/>
      <c r="T44" s="189"/>
    </row>
    <row r="45" spans="1:20" ht="28.5">
      <c r="A45" s="2" t="s">
        <v>18</v>
      </c>
      <c r="B45" s="3" t="s">
        <v>22</v>
      </c>
      <c r="C45" s="40"/>
      <c r="D45" s="16">
        <f>D46+D52+D65</f>
        <v>13</v>
      </c>
      <c r="E45" s="16">
        <f t="shared" ref="E45:L45" si="21">E46+E52+E65</f>
        <v>13</v>
      </c>
      <c r="F45" s="50">
        <f t="shared" si="21"/>
        <v>4.5466391330000002</v>
      </c>
      <c r="G45" s="50">
        <f t="shared" si="21"/>
        <v>1.2257805509999999</v>
      </c>
      <c r="H45" s="50">
        <f t="shared" si="21"/>
        <v>4.3128656549999995</v>
      </c>
      <c r="I45" s="50">
        <f t="shared" si="21"/>
        <v>2.6361648660000001</v>
      </c>
      <c r="J45" s="50">
        <f t="shared" si="21"/>
        <v>4.134248929</v>
      </c>
      <c r="K45" s="50">
        <f t="shared" si="21"/>
        <v>0.78766955100000025</v>
      </c>
      <c r="L45" s="50">
        <f t="shared" si="21"/>
        <v>0</v>
      </c>
      <c r="M45" s="11"/>
      <c r="N45" s="21"/>
      <c r="O45" s="21"/>
      <c r="P45" s="21"/>
      <c r="Q45" s="21"/>
      <c r="R45" s="21"/>
      <c r="S45" s="21"/>
      <c r="T45" s="21"/>
    </row>
    <row r="46" spans="1:20">
      <c r="A46" s="14">
        <v>1</v>
      </c>
      <c r="B46" s="15" t="s">
        <v>19</v>
      </c>
      <c r="C46" s="214"/>
      <c r="D46" s="4"/>
      <c r="E46" s="4"/>
      <c r="F46" s="63"/>
      <c r="G46" s="63"/>
      <c r="H46" s="59"/>
      <c r="I46" s="59"/>
      <c r="J46" s="59"/>
      <c r="K46" s="13"/>
      <c r="L46" s="13"/>
      <c r="M46" s="11"/>
      <c r="N46" s="21"/>
      <c r="O46" s="21"/>
      <c r="P46" s="21"/>
      <c r="Q46" s="21"/>
      <c r="R46" s="21"/>
      <c r="S46" s="21"/>
      <c r="T46" s="21"/>
    </row>
    <row r="47" spans="1:20">
      <c r="A47" s="4" t="s">
        <v>25</v>
      </c>
      <c r="B47" s="5" t="s">
        <v>15</v>
      </c>
      <c r="C47" s="167"/>
      <c r="D47" s="8"/>
      <c r="E47" s="4"/>
      <c r="F47" s="63"/>
      <c r="G47" s="59"/>
      <c r="H47" s="59"/>
      <c r="I47" s="59"/>
      <c r="J47" s="59"/>
      <c r="K47" s="13"/>
      <c r="L47" s="13"/>
      <c r="M47" s="11"/>
      <c r="N47" s="21"/>
      <c r="O47" s="21"/>
      <c r="P47" s="21"/>
      <c r="Q47" s="21"/>
      <c r="R47" s="21"/>
      <c r="S47" s="21"/>
      <c r="T47" s="21"/>
    </row>
    <row r="48" spans="1:20">
      <c r="A48" s="6" t="s">
        <v>41</v>
      </c>
      <c r="B48" s="215"/>
      <c r="C48" s="216"/>
      <c r="D48" s="8"/>
      <c r="E48" s="4"/>
      <c r="F48" s="63"/>
      <c r="G48" s="63"/>
      <c r="H48" s="59"/>
      <c r="I48" s="59"/>
      <c r="J48" s="59"/>
      <c r="K48" s="13"/>
      <c r="L48" s="13"/>
      <c r="M48" s="11"/>
      <c r="N48" s="21"/>
      <c r="O48" s="21"/>
      <c r="P48" s="21"/>
      <c r="Q48" s="21"/>
      <c r="R48" s="21"/>
      <c r="S48" s="21"/>
      <c r="T48" s="21"/>
    </row>
    <row r="49" spans="1:20">
      <c r="A49" s="4" t="s">
        <v>26</v>
      </c>
      <c r="B49" s="5" t="s">
        <v>14</v>
      </c>
      <c r="C49" s="34"/>
      <c r="D49" s="8"/>
      <c r="E49" s="4"/>
      <c r="F49" s="64"/>
      <c r="G49" s="65"/>
      <c r="H49" s="59"/>
      <c r="I49" s="59"/>
      <c r="J49" s="65"/>
      <c r="K49" s="13"/>
      <c r="L49" s="13"/>
      <c r="M49" s="11"/>
      <c r="N49" s="21"/>
      <c r="O49" s="21"/>
      <c r="P49" s="21"/>
      <c r="Q49" s="21"/>
      <c r="R49" s="21"/>
      <c r="S49" s="21"/>
      <c r="T49" s="21"/>
    </row>
    <row r="50" spans="1:20">
      <c r="A50" s="4"/>
      <c r="B50" s="215"/>
      <c r="C50" s="216"/>
      <c r="D50" s="8"/>
      <c r="E50" s="4"/>
      <c r="F50" s="64"/>
      <c r="G50" s="65"/>
      <c r="H50" s="59"/>
      <c r="I50" s="59"/>
      <c r="J50" s="65"/>
      <c r="K50" s="13"/>
      <c r="L50" s="13"/>
      <c r="M50" s="11"/>
      <c r="N50" s="21"/>
      <c r="O50" s="21"/>
      <c r="P50" s="21"/>
      <c r="Q50" s="21"/>
      <c r="R50" s="21"/>
      <c r="S50" s="21"/>
      <c r="T50" s="21"/>
    </row>
    <row r="51" spans="1:20">
      <c r="A51" s="4" t="s">
        <v>27</v>
      </c>
      <c r="B51" s="5" t="s">
        <v>24</v>
      </c>
      <c r="C51" s="34"/>
      <c r="D51" s="8"/>
      <c r="E51" s="4"/>
      <c r="F51" s="64"/>
      <c r="G51" s="65"/>
      <c r="H51" s="59"/>
      <c r="I51" s="59"/>
      <c r="J51" s="65"/>
      <c r="K51" s="13"/>
      <c r="L51" s="13"/>
      <c r="M51" s="11"/>
      <c r="N51" s="21"/>
      <c r="O51" s="21"/>
      <c r="P51" s="21"/>
      <c r="Q51" s="21"/>
      <c r="R51" s="21"/>
      <c r="S51" s="21"/>
      <c r="T51" s="21"/>
    </row>
    <row r="52" spans="1:20">
      <c r="A52" s="217">
        <v>2</v>
      </c>
      <c r="B52" s="218" t="s">
        <v>20</v>
      </c>
      <c r="C52" s="219"/>
      <c r="D52" s="239">
        <f>D53+D60+D61</f>
        <v>9</v>
      </c>
      <c r="E52" s="239">
        <f t="shared" ref="E52:K52" si="22">E53+E60+E61</f>
        <v>9</v>
      </c>
      <c r="F52" s="240">
        <f t="shared" si="22"/>
        <v>2.6357381179999999</v>
      </c>
      <c r="G52" s="240">
        <f t="shared" si="22"/>
        <v>1.2257805509999999</v>
      </c>
      <c r="H52" s="240">
        <f t="shared" si="22"/>
        <v>2.5057947519999999</v>
      </c>
      <c r="I52" s="240">
        <f t="shared" si="22"/>
        <v>1.5527768660000001</v>
      </c>
      <c r="J52" s="240">
        <f t="shared" si="22"/>
        <v>2.3360354170000002</v>
      </c>
      <c r="K52" s="240">
        <f t="shared" si="22"/>
        <v>0.78329855100000012</v>
      </c>
      <c r="L52" s="13"/>
      <c r="M52" s="11"/>
      <c r="N52" s="21"/>
      <c r="O52" s="21"/>
      <c r="P52" s="21"/>
      <c r="Q52" s="21"/>
      <c r="R52" s="21"/>
      <c r="S52" s="21"/>
      <c r="T52" s="21"/>
    </row>
    <row r="53" spans="1:20" ht="26.25" customHeight="1">
      <c r="A53" s="2" t="s">
        <v>25</v>
      </c>
      <c r="B53" s="3" t="s">
        <v>15</v>
      </c>
      <c r="C53" s="40"/>
      <c r="D53" s="8">
        <f>SUM(E54:E59)</f>
        <v>6</v>
      </c>
      <c r="E53" s="4">
        <f>SUM(E54:E59)</f>
        <v>6</v>
      </c>
      <c r="F53" s="58">
        <f t="shared" ref="F53:J53" si="23">SUM(F54:F59)</f>
        <v>1.6351229810000001</v>
      </c>
      <c r="G53" s="58">
        <f t="shared" si="23"/>
        <v>0.78443999999999992</v>
      </c>
      <c r="H53" s="58">
        <f t="shared" si="23"/>
        <v>1.5528279549999999</v>
      </c>
      <c r="I53" s="58">
        <f t="shared" si="23"/>
        <v>1.5527768660000001</v>
      </c>
      <c r="J53" s="58">
        <f t="shared" si="23"/>
        <v>1.552736866</v>
      </c>
      <c r="K53" s="4"/>
      <c r="L53" s="13"/>
      <c r="M53" s="11"/>
      <c r="N53" s="21"/>
      <c r="O53" s="21"/>
      <c r="P53" s="21"/>
      <c r="Q53" s="21"/>
      <c r="R53" s="21"/>
      <c r="S53" s="21"/>
      <c r="T53" s="21"/>
    </row>
    <row r="54" spans="1:20" ht="30">
      <c r="A54" s="158">
        <v>1</v>
      </c>
      <c r="B54" s="159" t="s">
        <v>306</v>
      </c>
      <c r="C54" s="159" t="s">
        <v>305</v>
      </c>
      <c r="D54" s="196"/>
      <c r="E54" s="196">
        <v>1</v>
      </c>
      <c r="F54" s="171">
        <v>0.55796394400000004</v>
      </c>
      <c r="G54" s="171">
        <v>0.2044</v>
      </c>
      <c r="H54" s="171">
        <v>0.52806319599999996</v>
      </c>
      <c r="I54" s="171">
        <v>0.52801308700000005</v>
      </c>
      <c r="J54" s="171">
        <v>0.52801308700000005</v>
      </c>
      <c r="K54" s="160">
        <f t="shared" ref="K54:K59" si="24">+I54-J54</f>
        <v>0</v>
      </c>
      <c r="L54" s="197"/>
      <c r="M54" s="198"/>
      <c r="N54" s="199"/>
      <c r="O54" s="199"/>
      <c r="P54" s="192"/>
      <c r="Q54" s="192"/>
      <c r="R54" s="192"/>
      <c r="S54" s="192"/>
      <c r="T54" s="192"/>
    </row>
    <row r="55" spans="1:20" ht="30">
      <c r="A55" s="174">
        <v>2</v>
      </c>
      <c r="B55" s="194" t="s">
        <v>307</v>
      </c>
      <c r="C55" s="194" t="s">
        <v>305</v>
      </c>
      <c r="D55" s="200"/>
      <c r="E55" s="200">
        <v>1</v>
      </c>
      <c r="F55" s="177">
        <v>0.110978991</v>
      </c>
      <c r="G55" s="177">
        <v>0.1</v>
      </c>
      <c r="H55" s="177">
        <v>0.10562690800000001</v>
      </c>
      <c r="I55" s="177">
        <v>0.10562657</v>
      </c>
      <c r="J55" s="177">
        <v>0.10562657</v>
      </c>
      <c r="K55" s="148">
        <f t="shared" si="24"/>
        <v>0</v>
      </c>
      <c r="L55" s="201"/>
      <c r="M55" s="202"/>
      <c r="N55" s="203"/>
      <c r="O55" s="203"/>
      <c r="P55" s="181"/>
      <c r="Q55" s="181"/>
      <c r="R55" s="181"/>
      <c r="S55" s="181"/>
      <c r="T55" s="181"/>
    </row>
    <row r="56" spans="1:20" ht="30">
      <c r="A56" s="174">
        <v>3</v>
      </c>
      <c r="B56" s="194" t="s">
        <v>308</v>
      </c>
      <c r="C56" s="194" t="s">
        <v>305</v>
      </c>
      <c r="D56" s="200"/>
      <c r="E56" s="200">
        <v>1</v>
      </c>
      <c r="F56" s="177">
        <v>0.11964815099999999</v>
      </c>
      <c r="G56" s="177">
        <v>0.1</v>
      </c>
      <c r="H56" s="177">
        <v>0.113876618</v>
      </c>
      <c r="I56" s="177">
        <v>0.113876596</v>
      </c>
      <c r="J56" s="177">
        <v>0.113876596</v>
      </c>
      <c r="K56" s="148">
        <f t="shared" si="24"/>
        <v>0</v>
      </c>
      <c r="L56" s="201"/>
      <c r="M56" s="202"/>
      <c r="N56" s="203"/>
      <c r="O56" s="203"/>
      <c r="P56" s="181"/>
      <c r="Q56" s="181"/>
      <c r="R56" s="181"/>
      <c r="S56" s="181"/>
      <c r="T56" s="181"/>
    </row>
    <row r="57" spans="1:20" ht="30">
      <c r="A57" s="174">
        <v>4</v>
      </c>
      <c r="B57" s="194" t="s">
        <v>309</v>
      </c>
      <c r="C57" s="194" t="s">
        <v>305</v>
      </c>
      <c r="D57" s="200"/>
      <c r="E57" s="200">
        <v>1</v>
      </c>
      <c r="F57" s="177">
        <v>0.12565812900000001</v>
      </c>
      <c r="G57" s="177">
        <v>0.1</v>
      </c>
      <c r="H57" s="177">
        <v>0.119419867</v>
      </c>
      <c r="I57" s="177">
        <v>0.119419866</v>
      </c>
      <c r="J57" s="177">
        <v>0.119419866</v>
      </c>
      <c r="K57" s="148">
        <f t="shared" si="24"/>
        <v>0</v>
      </c>
      <c r="L57" s="201"/>
      <c r="M57" s="202"/>
      <c r="N57" s="203"/>
      <c r="O57" s="203"/>
      <c r="P57" s="181"/>
      <c r="Q57" s="181"/>
      <c r="R57" s="181"/>
      <c r="S57" s="181"/>
      <c r="T57" s="181"/>
    </row>
    <row r="58" spans="1:20" ht="30">
      <c r="A58" s="174">
        <v>5</v>
      </c>
      <c r="B58" s="194" t="s">
        <v>310</v>
      </c>
      <c r="C58" s="194" t="s">
        <v>305</v>
      </c>
      <c r="D58" s="200"/>
      <c r="E58" s="200">
        <v>1</v>
      </c>
      <c r="F58" s="177">
        <v>0.503547419</v>
      </c>
      <c r="G58" s="177">
        <v>0.2</v>
      </c>
      <c r="H58" s="177">
        <v>0.47886389299999998</v>
      </c>
      <c r="I58" s="177">
        <v>0.47886389200000001</v>
      </c>
      <c r="J58" s="177">
        <v>0.47886389200000001</v>
      </c>
      <c r="K58" s="148">
        <f t="shared" si="24"/>
        <v>0</v>
      </c>
      <c r="L58" s="201"/>
      <c r="M58" s="202"/>
      <c r="N58" s="203"/>
      <c r="O58" s="203"/>
      <c r="P58" s="181"/>
      <c r="Q58" s="181"/>
      <c r="R58" s="181"/>
      <c r="S58" s="181"/>
      <c r="T58" s="181"/>
    </row>
    <row r="59" spans="1:20" ht="30">
      <c r="A59" s="182">
        <v>6</v>
      </c>
      <c r="B59" s="162" t="s">
        <v>311</v>
      </c>
      <c r="C59" s="162" t="s">
        <v>305</v>
      </c>
      <c r="D59" s="223"/>
      <c r="E59" s="223">
        <v>1</v>
      </c>
      <c r="F59" s="185">
        <v>0.217326347</v>
      </c>
      <c r="G59" s="185">
        <v>8.004E-2</v>
      </c>
      <c r="H59" s="185">
        <v>0.206977473</v>
      </c>
      <c r="I59" s="185">
        <v>0.20697685499999999</v>
      </c>
      <c r="J59" s="185">
        <v>0.206936855</v>
      </c>
      <c r="K59" s="163">
        <f t="shared" si="24"/>
        <v>3.9999999999984492E-5</v>
      </c>
      <c r="L59" s="163">
        <f>+G59-0.08</f>
        <v>3.999999999999837E-5</v>
      </c>
      <c r="M59" s="224"/>
      <c r="N59" s="225"/>
      <c r="O59" s="225"/>
      <c r="P59" s="189"/>
      <c r="Q59" s="189"/>
      <c r="R59" s="189"/>
      <c r="S59" s="189"/>
      <c r="T59" s="189"/>
    </row>
    <row r="60" spans="1:20">
      <c r="A60" s="2" t="s">
        <v>26</v>
      </c>
      <c r="B60" s="230" t="s">
        <v>14</v>
      </c>
      <c r="C60" s="7"/>
      <c r="D60" s="8"/>
      <c r="E60" s="8"/>
      <c r="F60" s="13"/>
      <c r="G60" s="13"/>
      <c r="H60" s="13"/>
      <c r="I60" s="13"/>
      <c r="J60" s="13"/>
      <c r="K60" s="13"/>
      <c r="L60" s="13"/>
      <c r="M60" s="227"/>
      <c r="N60" s="228"/>
      <c r="O60" s="228"/>
      <c r="P60" s="21"/>
      <c r="Q60" s="21"/>
      <c r="R60" s="21"/>
      <c r="S60" s="21"/>
      <c r="T60" s="21"/>
    </row>
    <row r="61" spans="1:20">
      <c r="A61" s="4" t="s">
        <v>27</v>
      </c>
      <c r="B61" s="3" t="s">
        <v>24</v>
      </c>
      <c r="C61" s="7"/>
      <c r="D61" s="8">
        <v>3</v>
      </c>
      <c r="E61" s="4">
        <f>SUM(E62:E64)</f>
        <v>3</v>
      </c>
      <c r="F61" s="58">
        <f t="shared" ref="F61:L61" si="25">SUM(F62:F64)</f>
        <v>1.000615137</v>
      </c>
      <c r="G61" s="58">
        <f t="shared" si="25"/>
        <v>0.44134055100000003</v>
      </c>
      <c r="H61" s="58">
        <f t="shared" si="25"/>
        <v>0.95296679699999998</v>
      </c>
      <c r="I61" s="58">
        <f t="shared" si="25"/>
        <v>0</v>
      </c>
      <c r="J61" s="58">
        <f t="shared" si="25"/>
        <v>0.78329855100000012</v>
      </c>
      <c r="K61" s="58">
        <f t="shared" si="25"/>
        <v>0.78329855100000012</v>
      </c>
      <c r="L61" s="58">
        <f t="shared" si="25"/>
        <v>0.73622098000000002</v>
      </c>
      <c r="M61" s="11"/>
      <c r="N61" s="21"/>
      <c r="O61" s="21"/>
      <c r="P61" s="21"/>
      <c r="Q61" s="21"/>
      <c r="R61" s="21"/>
      <c r="S61" s="21"/>
      <c r="T61" s="21"/>
    </row>
    <row r="62" spans="1:20" ht="30">
      <c r="A62" s="158">
        <v>1</v>
      </c>
      <c r="B62" s="164" t="s">
        <v>317</v>
      </c>
      <c r="C62" s="159" t="s">
        <v>305</v>
      </c>
      <c r="D62" s="158"/>
      <c r="E62" s="158">
        <v>1</v>
      </c>
      <c r="F62" s="190">
        <v>0.51962445000000002</v>
      </c>
      <c r="G62" s="190">
        <v>0.2</v>
      </c>
      <c r="H62" s="190">
        <v>0.49488042900000001</v>
      </c>
      <c r="I62" s="208"/>
      <c r="J62" s="190">
        <v>0.44331300000000001</v>
      </c>
      <c r="K62" s="190">
        <v>0.44331300000000001</v>
      </c>
      <c r="L62" s="190">
        <f>H62</f>
        <v>0.49488042900000001</v>
      </c>
      <c r="M62" s="191"/>
      <c r="N62" s="192"/>
      <c r="O62" s="192"/>
      <c r="P62" s="192"/>
      <c r="Q62" s="192"/>
      <c r="R62" s="192"/>
      <c r="S62" s="192"/>
      <c r="T62" s="192"/>
    </row>
    <row r="63" spans="1:20" ht="30">
      <c r="A63" s="174">
        <v>2</v>
      </c>
      <c r="B63" s="193" t="s">
        <v>318</v>
      </c>
      <c r="C63" s="194" t="s">
        <v>305</v>
      </c>
      <c r="D63" s="174"/>
      <c r="E63" s="174">
        <v>1</v>
      </c>
      <c r="F63" s="209">
        <v>9.8477184999999995E-2</v>
      </c>
      <c r="G63" s="209">
        <v>8.6840551000000002E-2</v>
      </c>
      <c r="H63" s="209">
        <v>9.3787794999999993E-2</v>
      </c>
      <c r="I63" s="210"/>
      <c r="J63" s="209">
        <v>8.6840551000000002E-2</v>
      </c>
      <c r="K63" s="209">
        <v>8.6840551000000002E-2</v>
      </c>
      <c r="L63" s="209">
        <f>K63</f>
        <v>8.6840551000000002E-2</v>
      </c>
      <c r="M63" s="180"/>
      <c r="N63" s="181"/>
      <c r="O63" s="181"/>
      <c r="P63" s="181"/>
      <c r="Q63" s="181"/>
      <c r="R63" s="181"/>
      <c r="S63" s="181"/>
      <c r="T63" s="181"/>
    </row>
    <row r="64" spans="1:20" ht="30">
      <c r="A64" s="182">
        <v>3</v>
      </c>
      <c r="B64" s="165" t="s">
        <v>319</v>
      </c>
      <c r="C64" s="162" t="s">
        <v>305</v>
      </c>
      <c r="D64" s="182"/>
      <c r="E64" s="182">
        <v>1</v>
      </c>
      <c r="F64" s="150">
        <v>0.38251350200000001</v>
      </c>
      <c r="G64" s="150">
        <v>0.1545</v>
      </c>
      <c r="H64" s="166">
        <v>0.36429857300000001</v>
      </c>
      <c r="I64" s="184"/>
      <c r="J64" s="166">
        <v>0.25314500000000001</v>
      </c>
      <c r="K64" s="166">
        <v>0.25314500000000001</v>
      </c>
      <c r="L64" s="166">
        <v>0.1545</v>
      </c>
      <c r="M64" s="188"/>
      <c r="N64" s="189"/>
      <c r="O64" s="189"/>
      <c r="P64" s="189"/>
      <c r="Q64" s="189"/>
      <c r="R64" s="189"/>
      <c r="S64" s="189"/>
      <c r="T64" s="189"/>
    </row>
    <row r="65" spans="1:20" s="221" customFormat="1">
      <c r="A65" s="217">
        <v>3</v>
      </c>
      <c r="B65" s="218" t="s">
        <v>21</v>
      </c>
      <c r="C65" s="218"/>
      <c r="D65" s="233">
        <f>D66+D68+D69</f>
        <v>4</v>
      </c>
      <c r="E65" s="234">
        <f t="shared" ref="E65:T65" si="26">+E66+E69+E68</f>
        <v>4</v>
      </c>
      <c r="F65" s="235">
        <f t="shared" si="26"/>
        <v>1.9109010150000001</v>
      </c>
      <c r="G65" s="235">
        <f t="shared" si="26"/>
        <v>0</v>
      </c>
      <c r="H65" s="235">
        <f t="shared" si="26"/>
        <v>1.8070709030000001</v>
      </c>
      <c r="I65" s="235">
        <f t="shared" si="26"/>
        <v>1.083388</v>
      </c>
      <c r="J65" s="235">
        <f t="shared" si="26"/>
        <v>1.798213512</v>
      </c>
      <c r="K65" s="235">
        <f t="shared" si="26"/>
        <v>4.371000000000097E-3</v>
      </c>
      <c r="L65" s="236">
        <f t="shared" si="26"/>
        <v>0</v>
      </c>
      <c r="M65" s="237">
        <f t="shared" si="26"/>
        <v>0</v>
      </c>
      <c r="N65" s="238">
        <f t="shared" si="26"/>
        <v>0</v>
      </c>
      <c r="O65" s="238">
        <f t="shared" si="26"/>
        <v>0</v>
      </c>
      <c r="P65" s="238">
        <f t="shared" si="26"/>
        <v>0</v>
      </c>
      <c r="Q65" s="238">
        <f t="shared" si="26"/>
        <v>0</v>
      </c>
      <c r="R65" s="238">
        <f t="shared" si="26"/>
        <v>0</v>
      </c>
      <c r="S65" s="23">
        <f t="shared" si="26"/>
        <v>0</v>
      </c>
      <c r="T65" s="23">
        <f t="shared" si="26"/>
        <v>0</v>
      </c>
    </row>
    <row r="66" spans="1:20" ht="27" customHeight="1">
      <c r="A66" s="4" t="s">
        <v>25</v>
      </c>
      <c r="B66" s="5" t="s">
        <v>15</v>
      </c>
      <c r="C66" s="5"/>
      <c r="D66" s="17">
        <f>E67</f>
        <v>1</v>
      </c>
      <c r="E66" s="231">
        <f>E67</f>
        <v>1</v>
      </c>
      <c r="F66" s="231">
        <f t="shared" ref="F66:K66" si="27">F67</f>
        <v>1.131147788</v>
      </c>
      <c r="G66" s="231">
        <f t="shared" si="27"/>
        <v>0</v>
      </c>
      <c r="H66" s="231">
        <f t="shared" si="27"/>
        <v>1.0878743909999999</v>
      </c>
      <c r="I66" s="231">
        <f t="shared" si="27"/>
        <v>1.083388</v>
      </c>
      <c r="J66" s="231">
        <f t="shared" si="27"/>
        <v>1.0833379999999999</v>
      </c>
      <c r="K66" s="232">
        <f t="shared" si="27"/>
        <v>5.0000000000105516E-5</v>
      </c>
      <c r="L66" s="13"/>
      <c r="M66" s="8"/>
      <c r="N66" s="24"/>
      <c r="O66" s="24"/>
      <c r="P66" s="24"/>
      <c r="Q66" s="24"/>
      <c r="R66" s="24"/>
      <c r="S66" s="24"/>
      <c r="T66" s="24"/>
    </row>
    <row r="67" spans="1:20" ht="30">
      <c r="A67" s="4"/>
      <c r="B67" s="159" t="s">
        <v>304</v>
      </c>
      <c r="C67" s="159" t="s">
        <v>305</v>
      </c>
      <c r="D67" s="196"/>
      <c r="E67" s="196">
        <v>1</v>
      </c>
      <c r="F67" s="171">
        <v>1.131147788</v>
      </c>
      <c r="G67" s="171"/>
      <c r="H67" s="171">
        <v>1.0878743909999999</v>
      </c>
      <c r="I67" s="171">
        <v>1.083388</v>
      </c>
      <c r="J67" s="204">
        <v>1.0833379999999999</v>
      </c>
      <c r="K67" s="160">
        <f t="shared" ref="K67" si="28">+I67-J67</f>
        <v>5.0000000000105516E-5</v>
      </c>
      <c r="L67" s="13"/>
      <c r="M67" s="8"/>
      <c r="N67" s="24"/>
      <c r="O67" s="24"/>
      <c r="P67" s="24"/>
      <c r="Q67" s="24"/>
      <c r="R67" s="24"/>
      <c r="S67" s="24"/>
      <c r="T67" s="24"/>
    </row>
    <row r="68" spans="1:20">
      <c r="A68" s="4" t="s">
        <v>26</v>
      </c>
      <c r="B68" s="5" t="s">
        <v>14</v>
      </c>
      <c r="C68" s="5"/>
      <c r="D68" s="4"/>
      <c r="E68" s="4"/>
      <c r="F68" s="168"/>
      <c r="G68" s="168"/>
      <c r="H68" s="168"/>
      <c r="I68" s="168"/>
      <c r="J68" s="168"/>
      <c r="K68" s="168"/>
      <c r="L68" s="4"/>
      <c r="M68" s="4"/>
      <c r="N68" s="4"/>
      <c r="O68" s="4"/>
      <c r="P68" s="4"/>
      <c r="Q68" s="4"/>
      <c r="R68" s="4"/>
      <c r="S68" s="4"/>
      <c r="T68" s="4"/>
    </row>
    <row r="69" spans="1:20">
      <c r="A69" s="4" t="s">
        <v>27</v>
      </c>
      <c r="B69" s="5" t="s">
        <v>24</v>
      </c>
      <c r="C69" s="5"/>
      <c r="D69" s="17">
        <f>+E69+M69</f>
        <v>3</v>
      </c>
      <c r="E69" s="18">
        <f t="shared" ref="E69:L69" si="29">+SUM(E70:E72)</f>
        <v>3</v>
      </c>
      <c r="F69" s="168">
        <f t="shared" si="29"/>
        <v>0.77975322700000005</v>
      </c>
      <c r="G69" s="168">
        <f t="shared" si="29"/>
        <v>0</v>
      </c>
      <c r="H69" s="168">
        <f t="shared" si="29"/>
        <v>0.71919651200000001</v>
      </c>
      <c r="I69" s="168">
        <f t="shared" si="29"/>
        <v>0</v>
      </c>
      <c r="J69" s="168">
        <f t="shared" si="29"/>
        <v>0.7148755120000001</v>
      </c>
      <c r="K69" s="169">
        <f t="shared" si="29"/>
        <v>4.3209999999999915E-3</v>
      </c>
      <c r="L69" s="18">
        <f t="shared" si="29"/>
        <v>0</v>
      </c>
      <c r="M69" s="18">
        <f t="shared" ref="M69:T69" si="30">+SUM(M71:M72)</f>
        <v>0</v>
      </c>
      <c r="N69" s="18">
        <f t="shared" si="30"/>
        <v>0</v>
      </c>
      <c r="O69" s="18">
        <f t="shared" si="30"/>
        <v>0</v>
      </c>
      <c r="P69" s="18">
        <f t="shared" si="30"/>
        <v>0</v>
      </c>
      <c r="Q69" s="18">
        <f t="shared" si="30"/>
        <v>0</v>
      </c>
      <c r="R69" s="18">
        <f t="shared" si="30"/>
        <v>0</v>
      </c>
      <c r="S69" s="18">
        <f t="shared" si="30"/>
        <v>0</v>
      </c>
      <c r="T69" s="18">
        <f t="shared" si="30"/>
        <v>0</v>
      </c>
    </row>
    <row r="70" spans="1:20" s="220" customFormat="1" ht="30">
      <c r="A70" s="158">
        <v>1</v>
      </c>
      <c r="B70" s="229" t="s">
        <v>313</v>
      </c>
      <c r="C70" s="159" t="s">
        <v>305</v>
      </c>
      <c r="D70" s="158"/>
      <c r="E70" s="158">
        <v>1</v>
      </c>
      <c r="F70" s="170">
        <v>0.27331139700000001</v>
      </c>
      <c r="G70" s="170"/>
      <c r="H70" s="170">
        <v>0.25339478300000001</v>
      </c>
      <c r="I70" s="170"/>
      <c r="J70" s="171">
        <v>0.25187978300000002</v>
      </c>
      <c r="K70" s="172">
        <f>H70-J70</f>
        <v>1.5149999999999886E-3</v>
      </c>
      <c r="L70" s="173"/>
      <c r="M70" s="173"/>
      <c r="N70" s="173"/>
      <c r="O70" s="173"/>
      <c r="P70" s="173"/>
      <c r="Q70" s="173"/>
      <c r="R70" s="173"/>
      <c r="S70" s="173"/>
      <c r="T70" s="173"/>
    </row>
    <row r="71" spans="1:20" ht="30">
      <c r="A71" s="174">
        <v>2</v>
      </c>
      <c r="B71" s="195" t="s">
        <v>314</v>
      </c>
      <c r="C71" s="194" t="s">
        <v>305</v>
      </c>
      <c r="D71" s="175"/>
      <c r="E71" s="174">
        <v>1</v>
      </c>
      <c r="F71" s="176">
        <v>0.21142722899999999</v>
      </c>
      <c r="G71" s="176"/>
      <c r="H71" s="176">
        <v>0.194692315</v>
      </c>
      <c r="I71" s="176"/>
      <c r="J71" s="177">
        <v>0.193521315</v>
      </c>
      <c r="K71" s="178">
        <f t="shared" ref="K71:K72" si="31">H71-J71</f>
        <v>1.1710000000000054E-3</v>
      </c>
      <c r="L71" s="179"/>
      <c r="M71" s="180"/>
      <c r="N71" s="181"/>
      <c r="O71" s="181"/>
      <c r="P71" s="181"/>
      <c r="Q71" s="181"/>
      <c r="R71" s="181"/>
      <c r="S71" s="181"/>
      <c r="T71" s="181"/>
    </row>
    <row r="72" spans="1:20" ht="30">
      <c r="A72" s="182">
        <v>3</v>
      </c>
      <c r="B72" s="162" t="s">
        <v>315</v>
      </c>
      <c r="C72" s="162" t="s">
        <v>305</v>
      </c>
      <c r="D72" s="183"/>
      <c r="E72" s="182">
        <v>1</v>
      </c>
      <c r="F72" s="184">
        <v>0.29501460099999999</v>
      </c>
      <c r="G72" s="184"/>
      <c r="H72" s="184">
        <v>0.27110941399999999</v>
      </c>
      <c r="I72" s="184"/>
      <c r="J72" s="185">
        <v>0.269474414</v>
      </c>
      <c r="K72" s="186">
        <f t="shared" si="31"/>
        <v>1.6349999999999976E-3</v>
      </c>
      <c r="L72" s="187"/>
      <c r="M72" s="188"/>
      <c r="N72" s="189"/>
      <c r="O72" s="189"/>
      <c r="P72" s="189"/>
      <c r="Q72" s="189"/>
      <c r="R72" s="189"/>
      <c r="S72" s="189"/>
      <c r="T72" s="189"/>
    </row>
    <row r="73" spans="1:20" ht="15" customHeight="1">
      <c r="B73" s="242"/>
      <c r="C73" s="242"/>
      <c r="D73" s="242"/>
      <c r="E73" s="242"/>
      <c r="F73" s="242"/>
      <c r="G73" s="221"/>
      <c r="N73" s="242"/>
      <c r="O73" s="242"/>
      <c r="P73" s="242"/>
      <c r="Q73" s="242"/>
      <c r="R73" s="242"/>
      <c r="S73" s="242"/>
      <c r="T73" s="242"/>
    </row>
    <row r="74" spans="1:20">
      <c r="B74" s="242"/>
      <c r="C74" s="242"/>
      <c r="D74" s="221"/>
      <c r="E74" s="221"/>
      <c r="F74" s="221"/>
      <c r="G74" s="221"/>
      <c r="N74" s="221"/>
      <c r="O74" s="221"/>
      <c r="P74" s="221"/>
      <c r="Q74" s="221"/>
      <c r="R74" s="221"/>
      <c r="S74" s="221"/>
      <c r="T74" s="221"/>
    </row>
    <row r="75" spans="1:20">
      <c r="B75" s="221"/>
      <c r="C75" s="221"/>
      <c r="D75" s="221"/>
      <c r="E75" s="221"/>
      <c r="F75" s="221"/>
      <c r="G75" s="221"/>
      <c r="N75" s="221"/>
      <c r="O75" s="221"/>
      <c r="P75" s="221"/>
      <c r="Q75" s="221"/>
      <c r="R75" s="221"/>
      <c r="S75" s="221"/>
      <c r="T75" s="221"/>
    </row>
    <row r="76" spans="1:20">
      <c r="B76" s="221"/>
      <c r="C76" s="221"/>
      <c r="D76" s="221"/>
      <c r="E76" s="221"/>
      <c r="F76" s="221"/>
      <c r="G76" s="221"/>
      <c r="N76" s="221"/>
      <c r="O76" s="221"/>
      <c r="P76" s="221"/>
      <c r="Q76" s="221"/>
      <c r="R76" s="221"/>
      <c r="S76" s="221"/>
      <c r="T76" s="221"/>
    </row>
    <row r="77" spans="1:20">
      <c r="B77" s="221"/>
      <c r="C77" s="221"/>
      <c r="D77" s="221"/>
      <c r="E77" s="221"/>
      <c r="F77" s="221"/>
      <c r="G77" s="221"/>
      <c r="N77" s="221"/>
      <c r="O77" s="221"/>
      <c r="P77" s="221"/>
      <c r="Q77" s="221"/>
      <c r="R77" s="221"/>
      <c r="S77" s="221"/>
      <c r="T77" s="221"/>
    </row>
    <row r="78" spans="1:20">
      <c r="B78" s="221"/>
      <c r="C78" s="221"/>
      <c r="D78" s="221"/>
      <c r="E78" s="221"/>
      <c r="F78" s="221"/>
      <c r="G78" s="221"/>
      <c r="N78" s="221"/>
      <c r="O78" s="221"/>
      <c r="P78" s="221"/>
      <c r="Q78" s="221"/>
      <c r="R78" s="221"/>
      <c r="S78" s="221"/>
      <c r="T78" s="221"/>
    </row>
    <row r="79" spans="1:20">
      <c r="B79" s="221"/>
      <c r="C79" s="221"/>
      <c r="D79" s="221"/>
      <c r="E79" s="221"/>
      <c r="F79" s="221"/>
      <c r="G79" s="221"/>
      <c r="N79" s="221"/>
      <c r="O79" s="221"/>
      <c r="P79" s="221"/>
      <c r="Q79" s="221"/>
      <c r="R79" s="221"/>
      <c r="S79" s="221"/>
      <c r="T79" s="221"/>
    </row>
    <row r="80" spans="1:20">
      <c r="B80" s="243"/>
      <c r="C80" s="243"/>
      <c r="D80" s="243"/>
      <c r="E80" s="243"/>
      <c r="F80" s="243"/>
      <c r="G80" s="221"/>
      <c r="N80" s="221"/>
      <c r="O80" s="221"/>
      <c r="P80" s="221"/>
      <c r="Q80" s="221"/>
      <c r="R80" s="221"/>
      <c r="S80" s="221"/>
      <c r="T80" s="221"/>
    </row>
    <row r="81" spans="2:20">
      <c r="B81" s="243"/>
      <c r="C81" s="243"/>
      <c r="D81" s="243"/>
      <c r="E81" s="243"/>
      <c r="F81" s="243"/>
      <c r="G81" s="221"/>
      <c r="N81" s="221"/>
      <c r="O81" s="221"/>
      <c r="P81" s="221"/>
      <c r="Q81" s="221"/>
      <c r="R81" s="221"/>
      <c r="S81" s="221"/>
      <c r="T81" s="221"/>
    </row>
    <row r="82" spans="2:20">
      <c r="B82" s="221"/>
      <c r="C82" s="221"/>
      <c r="D82" s="221"/>
      <c r="E82" s="221"/>
      <c r="F82" s="221"/>
      <c r="G82" s="221"/>
      <c r="N82" s="221"/>
      <c r="O82" s="221"/>
      <c r="P82" s="221"/>
      <c r="Q82" s="221"/>
      <c r="R82" s="221"/>
      <c r="S82" s="221"/>
      <c r="T82" s="221"/>
    </row>
    <row r="83" spans="2:20">
      <c r="B83" s="221"/>
      <c r="C83" s="221"/>
      <c r="D83" s="221"/>
      <c r="E83" s="221"/>
      <c r="F83" s="221"/>
      <c r="G83" s="221"/>
      <c r="N83" s="221"/>
      <c r="O83" s="221"/>
      <c r="P83" s="221"/>
      <c r="Q83" s="221"/>
      <c r="R83" s="221"/>
      <c r="S83" s="221"/>
      <c r="T83" s="221"/>
    </row>
    <row r="84" spans="2:20">
      <c r="B84" s="221"/>
      <c r="C84" s="221"/>
      <c r="D84" s="221"/>
      <c r="E84" s="221"/>
      <c r="F84" s="221"/>
      <c r="G84" s="221"/>
      <c r="N84" s="221"/>
      <c r="O84" s="221"/>
      <c r="P84" s="221"/>
      <c r="Q84" s="221"/>
      <c r="R84" s="221"/>
      <c r="S84" s="221"/>
      <c r="T84" s="221"/>
    </row>
    <row r="85" spans="2:20">
      <c r="B85" s="221"/>
      <c r="C85" s="221"/>
      <c r="D85" s="221"/>
      <c r="E85" s="221"/>
      <c r="F85" s="221"/>
      <c r="G85" s="221"/>
      <c r="N85" s="221"/>
      <c r="O85" s="221"/>
      <c r="P85" s="221"/>
      <c r="Q85" s="221"/>
      <c r="R85" s="221"/>
      <c r="S85" s="221"/>
      <c r="T85" s="221"/>
    </row>
    <row r="86" spans="2:20">
      <c r="B86" s="221"/>
      <c r="C86" s="221"/>
      <c r="D86" s="221"/>
      <c r="E86" s="221"/>
      <c r="F86" s="221"/>
      <c r="G86" s="221"/>
      <c r="N86" s="221"/>
      <c r="O86" s="221"/>
      <c r="P86" s="221"/>
      <c r="Q86" s="221"/>
      <c r="R86" s="221"/>
      <c r="S86" s="221"/>
      <c r="T86" s="221"/>
    </row>
    <row r="87" spans="2:20">
      <c r="B87" s="221"/>
      <c r="C87" s="221"/>
      <c r="D87" s="221"/>
      <c r="E87" s="221"/>
      <c r="F87" s="221"/>
      <c r="G87" s="221"/>
      <c r="N87" s="221"/>
      <c r="O87" s="221"/>
      <c r="P87" s="221"/>
      <c r="Q87" s="221"/>
      <c r="R87" s="221"/>
      <c r="S87" s="221"/>
      <c r="T87" s="221"/>
    </row>
    <row r="88" spans="2:20">
      <c r="B88" s="221"/>
      <c r="C88" s="221"/>
      <c r="D88" s="221"/>
      <c r="E88" s="221"/>
      <c r="F88" s="221"/>
      <c r="G88" s="221"/>
      <c r="N88" s="221"/>
      <c r="O88" s="221"/>
      <c r="P88" s="221"/>
      <c r="Q88" s="221"/>
      <c r="R88" s="221"/>
      <c r="S88" s="221"/>
      <c r="T88" s="221"/>
    </row>
    <row r="89" spans="2:20">
      <c r="B89" s="221"/>
      <c r="C89" s="221"/>
      <c r="D89" s="221"/>
      <c r="E89" s="221"/>
      <c r="F89" s="221"/>
      <c r="G89" s="221"/>
      <c r="N89" s="221"/>
      <c r="O89" s="221"/>
      <c r="P89" s="221"/>
      <c r="Q89" s="221"/>
      <c r="R89" s="221"/>
      <c r="S89" s="221"/>
      <c r="T89" s="221"/>
    </row>
    <row r="90" spans="2:20">
      <c r="B90" s="221"/>
      <c r="C90" s="221"/>
      <c r="D90" s="221"/>
      <c r="E90" s="221"/>
      <c r="F90" s="221"/>
      <c r="G90" s="221"/>
      <c r="N90" s="221"/>
      <c r="O90" s="221"/>
      <c r="P90" s="221"/>
      <c r="Q90" s="221"/>
      <c r="R90" s="221"/>
      <c r="S90" s="221"/>
      <c r="T90" s="221"/>
    </row>
    <row r="91" spans="2:20">
      <c r="B91" s="221"/>
      <c r="C91" s="221"/>
      <c r="D91" s="221"/>
      <c r="E91" s="221"/>
      <c r="F91" s="221"/>
      <c r="G91" s="221"/>
      <c r="N91" s="221"/>
      <c r="O91" s="221"/>
      <c r="P91" s="221"/>
      <c r="Q91" s="221"/>
      <c r="R91" s="221"/>
      <c r="S91" s="221"/>
      <c r="T91" s="221"/>
    </row>
    <row r="92" spans="2:20">
      <c r="B92" s="221"/>
      <c r="C92" s="221"/>
      <c r="D92" s="221"/>
      <c r="E92" s="221"/>
      <c r="F92" s="221"/>
      <c r="G92" s="221"/>
      <c r="N92" s="221"/>
      <c r="O92" s="221"/>
      <c r="P92" s="221"/>
      <c r="Q92" s="221"/>
      <c r="R92" s="221"/>
      <c r="S92" s="221"/>
      <c r="T92" s="221"/>
    </row>
    <row r="93" spans="2:20">
      <c r="B93" s="221"/>
      <c r="C93" s="221"/>
      <c r="D93" s="221"/>
      <c r="E93" s="221"/>
      <c r="F93" s="221"/>
      <c r="G93" s="221"/>
      <c r="N93" s="221"/>
      <c r="O93" s="221"/>
      <c r="P93" s="221"/>
      <c r="Q93" s="221"/>
      <c r="R93" s="221"/>
      <c r="S93" s="221"/>
      <c r="T93" s="221"/>
    </row>
    <row r="94" spans="2:20">
      <c r="B94" s="53"/>
      <c r="C94" s="53"/>
      <c r="D94" s="53"/>
      <c r="E94" s="53"/>
      <c r="F94" s="53"/>
      <c r="G94" s="53"/>
      <c r="N94" s="53"/>
      <c r="O94" s="53"/>
      <c r="P94" s="53"/>
      <c r="Q94" s="53"/>
      <c r="R94" s="53"/>
      <c r="S94" s="53"/>
      <c r="T94" s="53"/>
    </row>
    <row r="95" spans="2:20">
      <c r="B95" s="53"/>
      <c r="C95" s="53"/>
      <c r="D95" s="53"/>
      <c r="E95" s="53"/>
      <c r="F95" s="53"/>
      <c r="G95" s="53"/>
      <c r="N95" s="53"/>
      <c r="O95" s="53"/>
      <c r="P95" s="53"/>
      <c r="Q95" s="53"/>
      <c r="R95" s="53"/>
      <c r="S95" s="53"/>
      <c r="T95" s="53"/>
    </row>
    <row r="96" spans="2:20">
      <c r="B96" s="53"/>
      <c r="C96" s="53"/>
      <c r="D96" s="53"/>
      <c r="E96" s="53"/>
      <c r="F96" s="53"/>
      <c r="G96" s="53"/>
      <c r="N96" s="53"/>
      <c r="O96" s="53"/>
      <c r="P96" s="53"/>
      <c r="Q96" s="53"/>
      <c r="R96" s="53"/>
      <c r="S96" s="53"/>
      <c r="T96" s="53"/>
    </row>
    <row r="97" spans="2:20">
      <c r="B97" s="53"/>
      <c r="C97" s="53"/>
      <c r="D97" s="53"/>
      <c r="E97" s="53"/>
      <c r="F97" s="53"/>
      <c r="G97" s="53"/>
      <c r="N97" s="53"/>
      <c r="O97" s="53"/>
      <c r="P97" s="53"/>
      <c r="Q97" s="53"/>
      <c r="R97" s="53"/>
      <c r="S97" s="53"/>
      <c r="T97" s="53"/>
    </row>
    <row r="98" spans="2:20">
      <c r="B98" s="53"/>
      <c r="C98" s="53"/>
      <c r="D98" s="53"/>
      <c r="E98" s="53"/>
      <c r="F98" s="53"/>
      <c r="G98" s="53"/>
      <c r="N98" s="53"/>
      <c r="O98" s="53"/>
      <c r="P98" s="53"/>
      <c r="Q98" s="53"/>
      <c r="R98" s="53"/>
      <c r="S98" s="53"/>
      <c r="T98" s="53"/>
    </row>
    <row r="99" spans="2:20">
      <c r="B99" s="53"/>
      <c r="C99" s="53"/>
      <c r="D99" s="53"/>
      <c r="E99" s="53"/>
      <c r="F99" s="53"/>
      <c r="G99" s="53"/>
      <c r="N99" s="53"/>
      <c r="O99" s="53"/>
      <c r="P99" s="53"/>
      <c r="Q99" s="53"/>
      <c r="R99" s="53"/>
      <c r="S99" s="53"/>
      <c r="T99" s="53"/>
    </row>
    <row r="100" spans="2:20">
      <c r="B100" s="53"/>
      <c r="C100" s="53"/>
      <c r="D100" s="53"/>
      <c r="E100" s="53"/>
      <c r="F100" s="53"/>
      <c r="G100" s="53"/>
      <c r="N100" s="53"/>
      <c r="O100" s="53"/>
      <c r="P100" s="53"/>
      <c r="Q100" s="53"/>
      <c r="R100" s="53"/>
      <c r="S100" s="53"/>
      <c r="T100" s="53"/>
    </row>
    <row r="101" spans="2:20">
      <c r="B101" s="53"/>
      <c r="C101" s="53"/>
      <c r="D101" s="53"/>
      <c r="E101" s="53"/>
      <c r="F101" s="53"/>
      <c r="G101" s="53"/>
      <c r="N101" s="53"/>
      <c r="O101" s="53"/>
      <c r="P101" s="53"/>
      <c r="Q101" s="53"/>
      <c r="R101" s="53"/>
      <c r="S101" s="53"/>
      <c r="T101" s="53"/>
    </row>
    <row r="102" spans="2:20">
      <c r="B102" s="53"/>
      <c r="C102" s="53"/>
      <c r="D102" s="53"/>
      <c r="E102" s="53"/>
      <c r="F102" s="53"/>
      <c r="G102" s="53"/>
      <c r="N102" s="53"/>
      <c r="O102" s="53"/>
      <c r="P102" s="53"/>
      <c r="Q102" s="53"/>
      <c r="R102" s="53"/>
      <c r="S102" s="53"/>
      <c r="T102" s="53"/>
    </row>
    <row r="104" spans="2:20" ht="16.5" customHeight="1">
      <c r="B104" s="244"/>
      <c r="C104" s="244"/>
      <c r="D104" s="244"/>
      <c r="E104" s="244"/>
      <c r="F104" s="244"/>
      <c r="G104" s="244"/>
      <c r="H104" s="244"/>
      <c r="I104" s="244"/>
      <c r="J104" s="244"/>
      <c r="K104" s="244"/>
      <c r="L104" s="244"/>
      <c r="M104" s="244"/>
      <c r="N104" s="244"/>
      <c r="O104" s="244"/>
      <c r="P104" s="244"/>
      <c r="Q104" s="244"/>
      <c r="R104" s="244"/>
      <c r="S104" s="244"/>
      <c r="T104" s="244"/>
    </row>
    <row r="105" spans="2:20" ht="31.15" customHeight="1">
      <c r="B105" s="241"/>
      <c r="C105" s="241"/>
      <c r="D105" s="241"/>
      <c r="E105" s="241"/>
      <c r="F105" s="241"/>
      <c r="G105" s="241"/>
      <c r="H105" s="241"/>
      <c r="I105" s="241"/>
      <c r="J105" s="241"/>
      <c r="K105" s="241"/>
      <c r="L105" s="241"/>
      <c r="M105" s="241"/>
      <c r="N105" s="241"/>
      <c r="O105" s="241"/>
      <c r="P105" s="241"/>
      <c r="Q105" s="241"/>
      <c r="R105" s="241"/>
      <c r="S105" s="241"/>
      <c r="T105" s="241"/>
    </row>
    <row r="106" spans="2:20" ht="43.5" customHeight="1">
      <c r="B106" s="241"/>
      <c r="C106" s="241"/>
      <c r="D106" s="241"/>
      <c r="E106" s="241"/>
      <c r="F106" s="241"/>
      <c r="G106" s="241"/>
      <c r="H106" s="241"/>
      <c r="I106" s="241"/>
      <c r="J106" s="241"/>
      <c r="K106" s="241"/>
      <c r="L106" s="241"/>
      <c r="M106" s="241"/>
      <c r="N106" s="241"/>
      <c r="O106" s="241"/>
      <c r="P106" s="241"/>
      <c r="Q106" s="241"/>
      <c r="R106" s="241"/>
      <c r="S106" s="241"/>
      <c r="T106" s="241"/>
    </row>
    <row r="107" spans="2:20" ht="19.149999999999999" customHeight="1">
      <c r="B107" s="241"/>
      <c r="C107" s="241"/>
      <c r="D107" s="241"/>
      <c r="E107" s="241"/>
      <c r="F107" s="241"/>
      <c r="G107" s="241"/>
      <c r="H107" s="241"/>
      <c r="I107" s="241"/>
      <c r="J107" s="241"/>
      <c r="K107" s="241"/>
      <c r="L107" s="241"/>
      <c r="M107" s="241"/>
      <c r="N107" s="241"/>
      <c r="O107" s="241"/>
      <c r="P107" s="241"/>
      <c r="Q107" s="241"/>
      <c r="R107" s="241"/>
      <c r="S107" s="241"/>
      <c r="T107" s="241"/>
    </row>
    <row r="108" spans="2:20" ht="16.5" customHeight="1">
      <c r="B108" s="241"/>
      <c r="C108" s="241"/>
      <c r="D108" s="241"/>
      <c r="E108" s="241"/>
      <c r="F108" s="241"/>
      <c r="G108" s="241"/>
      <c r="H108" s="241"/>
      <c r="I108" s="241"/>
      <c r="J108" s="241"/>
      <c r="K108" s="241"/>
      <c r="L108" s="241"/>
      <c r="M108" s="241"/>
      <c r="N108" s="241"/>
      <c r="O108" s="241"/>
      <c r="P108" s="241"/>
      <c r="Q108" s="241"/>
      <c r="R108" s="241"/>
      <c r="S108" s="241"/>
      <c r="T108" s="241"/>
    </row>
  </sheetData>
  <mergeCells count="40">
    <mergeCell ref="C7:C10"/>
    <mergeCell ref="A1:B1"/>
    <mergeCell ref="B3:T3"/>
    <mergeCell ref="B4:T4"/>
    <mergeCell ref="R6:T6"/>
    <mergeCell ref="A7:A10"/>
    <mergeCell ref="B7:B10"/>
    <mergeCell ref="D7:D10"/>
    <mergeCell ref="E7:L7"/>
    <mergeCell ref="M7:T7"/>
    <mergeCell ref="R8:R10"/>
    <mergeCell ref="S8:T8"/>
    <mergeCell ref="N9:N10"/>
    <mergeCell ref="O9:O10"/>
    <mergeCell ref="S9:S10"/>
    <mergeCell ref="T9:T10"/>
    <mergeCell ref="M8:M10"/>
    <mergeCell ref="N8:O8"/>
    <mergeCell ref="P8:P10"/>
    <mergeCell ref="Q8:Q10"/>
    <mergeCell ref="E8:E10"/>
    <mergeCell ref="F8:G8"/>
    <mergeCell ref="H8:H10"/>
    <mergeCell ref="I8:I10"/>
    <mergeCell ref="J8:J10"/>
    <mergeCell ref="K8:L8"/>
    <mergeCell ref="F9:F10"/>
    <mergeCell ref="G9:G10"/>
    <mergeCell ref="K9:K10"/>
    <mergeCell ref="L9:L10"/>
    <mergeCell ref="B105:T105"/>
    <mergeCell ref="B106:T106"/>
    <mergeCell ref="B107:T107"/>
    <mergeCell ref="B108:T108"/>
    <mergeCell ref="B73:F73"/>
    <mergeCell ref="N73:T73"/>
    <mergeCell ref="B80:F80"/>
    <mergeCell ref="B104:T104"/>
    <mergeCell ref="B81:F81"/>
    <mergeCell ref="B74:C74"/>
  </mergeCells>
  <printOptions horizontalCentered="1"/>
  <pageMargins left="0.118110236220472" right="0.118110236220472" top="0.35433070866141703" bottom="0.35433070866141703" header="0.31496062992126" footer="0.31496062992126"/>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7"/>
  <sheetViews>
    <sheetView workbookViewId="0">
      <selection activeCell="E4" sqref="E4:E7"/>
    </sheetView>
  </sheetViews>
  <sheetFormatPr defaultRowHeight="15"/>
  <cols>
    <col min="5" max="5" width="44" customWidth="1"/>
  </cols>
  <sheetData>
    <row r="4" spans="5:5">
      <c r="E4" s="155" t="s">
        <v>303</v>
      </c>
    </row>
    <row r="6" spans="5:5" ht="29.25">
      <c r="E6" s="154" t="s">
        <v>302</v>
      </c>
    </row>
    <row r="7" spans="5:5" ht="75" customHeight="1">
      <c r="E7" s="10" t="s">
        <v>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0"/>
  <sheetViews>
    <sheetView topLeftCell="A4" zoomScaleNormal="100" workbookViewId="0">
      <selection activeCell="B263" sqref="B263"/>
    </sheetView>
  </sheetViews>
  <sheetFormatPr defaultColWidth="8.7109375" defaultRowHeight="15"/>
  <cols>
    <col min="1" max="1" width="4.7109375" style="1" customWidth="1"/>
    <col min="2" max="2" width="53.85546875" style="1" customWidth="1"/>
    <col min="3" max="3" width="6.5703125" style="1" customWidth="1"/>
    <col min="4" max="4" width="9.28515625" style="1" customWidth="1"/>
    <col min="5" max="5" width="6.7109375" style="1" customWidth="1"/>
    <col min="6" max="6" width="7" style="1" customWidth="1"/>
    <col min="7" max="7" width="7.5703125" style="1" customWidth="1"/>
    <col min="8" max="8" width="6.5703125" style="1" customWidth="1"/>
    <col min="9" max="9" width="7.140625" style="1" customWidth="1"/>
    <col min="10" max="10" width="7.28515625" style="1" customWidth="1"/>
    <col min="11" max="11" width="6.42578125" style="1" customWidth="1"/>
    <col min="12" max="12" width="8.140625" style="1" customWidth="1"/>
    <col min="13" max="13" width="12" style="1" customWidth="1"/>
    <col min="14" max="14" width="9.85546875" style="1" customWidth="1"/>
    <col min="15" max="15" width="10.140625" style="1" bestFit="1" customWidth="1"/>
    <col min="16" max="16384" width="8.7109375" style="1"/>
  </cols>
  <sheetData>
    <row r="1" spans="1:15" ht="33" customHeight="1">
      <c r="A1" s="250" t="s">
        <v>88</v>
      </c>
      <c r="B1" s="250"/>
    </row>
    <row r="2" spans="1:15" ht="17.25" customHeight="1">
      <c r="A2" s="260" t="s">
        <v>84</v>
      </c>
      <c r="B2" s="260"/>
      <c r="C2" s="260"/>
      <c r="D2" s="260"/>
      <c r="E2" s="260"/>
      <c r="F2" s="260"/>
      <c r="G2" s="260"/>
      <c r="H2" s="260"/>
      <c r="I2" s="260"/>
      <c r="J2" s="260"/>
      <c r="K2" s="260"/>
      <c r="L2" s="260"/>
      <c r="M2" s="260"/>
      <c r="N2" s="260"/>
    </row>
    <row r="3" spans="1:15" ht="15.75">
      <c r="A3" s="261" t="s">
        <v>89</v>
      </c>
      <c r="B3" s="261"/>
      <c r="C3" s="261"/>
      <c r="D3" s="261"/>
      <c r="E3" s="261"/>
      <c r="F3" s="261"/>
      <c r="G3" s="261"/>
      <c r="H3" s="261"/>
      <c r="I3" s="261"/>
      <c r="J3" s="261"/>
      <c r="K3" s="261"/>
      <c r="L3" s="261"/>
      <c r="M3" s="261"/>
      <c r="N3" s="261"/>
    </row>
    <row r="4" spans="1:15" ht="13.5" customHeight="1">
      <c r="L4" s="262" t="s">
        <v>68</v>
      </c>
      <c r="M4" s="262"/>
      <c r="N4" s="262"/>
    </row>
    <row r="5" spans="1:15" ht="105.75" customHeight="1">
      <c r="A5" s="256" t="s">
        <v>0</v>
      </c>
      <c r="B5" s="256" t="s">
        <v>36</v>
      </c>
      <c r="C5" s="245" t="s">
        <v>69</v>
      </c>
      <c r="D5" s="245" t="s">
        <v>70</v>
      </c>
      <c r="E5" s="257" t="s">
        <v>3</v>
      </c>
      <c r="F5" s="258"/>
      <c r="G5" s="256" t="s">
        <v>37</v>
      </c>
      <c r="H5" s="256" t="s">
        <v>5</v>
      </c>
      <c r="I5" s="257" t="s">
        <v>71</v>
      </c>
      <c r="J5" s="258"/>
      <c r="K5" s="257" t="s">
        <v>6</v>
      </c>
      <c r="L5" s="258"/>
      <c r="M5" s="256" t="s">
        <v>38</v>
      </c>
      <c r="N5" s="256"/>
    </row>
    <row r="6" spans="1:15" ht="28.5" customHeight="1">
      <c r="A6" s="256"/>
      <c r="B6" s="256"/>
      <c r="C6" s="246"/>
      <c r="D6" s="246"/>
      <c r="E6" s="256" t="s">
        <v>4</v>
      </c>
      <c r="F6" s="256" t="s">
        <v>72</v>
      </c>
      <c r="G6" s="256"/>
      <c r="H6" s="256"/>
      <c r="I6" s="256" t="s">
        <v>4</v>
      </c>
      <c r="J6" s="256" t="s">
        <v>72</v>
      </c>
      <c r="K6" s="256" t="s">
        <v>4</v>
      </c>
      <c r="L6" s="256" t="s">
        <v>72</v>
      </c>
      <c r="M6" s="256" t="s">
        <v>4</v>
      </c>
      <c r="N6" s="256" t="s">
        <v>72</v>
      </c>
    </row>
    <row r="7" spans="1:15" ht="27" customHeight="1">
      <c r="A7" s="256"/>
      <c r="B7" s="256"/>
      <c r="C7" s="247"/>
      <c r="D7" s="247"/>
      <c r="E7" s="256"/>
      <c r="F7" s="256"/>
      <c r="G7" s="256"/>
      <c r="H7" s="256"/>
      <c r="I7" s="256"/>
      <c r="J7" s="256"/>
      <c r="K7" s="256"/>
      <c r="L7" s="256"/>
      <c r="M7" s="256"/>
      <c r="N7" s="256"/>
    </row>
    <row r="8" spans="1:15">
      <c r="A8" s="30">
        <v>1</v>
      </c>
      <c r="B8" s="30">
        <v>2</v>
      </c>
      <c r="C8" s="30">
        <v>3</v>
      </c>
      <c r="D8" s="30">
        <v>4</v>
      </c>
      <c r="E8" s="30">
        <v>5</v>
      </c>
      <c r="F8" s="30">
        <v>6</v>
      </c>
      <c r="G8" s="30">
        <v>7</v>
      </c>
      <c r="H8" s="30">
        <v>8</v>
      </c>
      <c r="I8" s="30">
        <v>9</v>
      </c>
      <c r="J8" s="30">
        <v>10</v>
      </c>
      <c r="K8" s="30">
        <v>11</v>
      </c>
      <c r="L8" s="30">
        <v>12</v>
      </c>
      <c r="M8" s="30">
        <v>13</v>
      </c>
      <c r="N8" s="30">
        <v>14</v>
      </c>
      <c r="O8" s="31"/>
    </row>
    <row r="9" spans="1:15" s="73" customFormat="1" ht="12.75">
      <c r="A9" s="41"/>
      <c r="B9" s="40" t="s">
        <v>73</v>
      </c>
      <c r="C9" s="41">
        <f t="shared" ref="C9:N10" si="0">+C13+C258</f>
        <v>230</v>
      </c>
      <c r="D9" s="41">
        <f t="shared" si="0"/>
        <v>0</v>
      </c>
      <c r="E9" s="32">
        <f t="shared" si="0"/>
        <v>153.05019125099997</v>
      </c>
      <c r="F9" s="32">
        <f t="shared" si="0"/>
        <v>100.48904922599998</v>
      </c>
      <c r="G9" s="32">
        <f t="shared" si="0"/>
        <v>135.20009018995</v>
      </c>
      <c r="H9" s="32">
        <f t="shared" si="0"/>
        <v>115.74730587499997</v>
      </c>
      <c r="I9" s="32">
        <f t="shared" si="0"/>
        <v>127.378327066</v>
      </c>
      <c r="J9" s="32">
        <f t="shared" si="0"/>
        <v>91.84098492699998</v>
      </c>
      <c r="K9" s="32">
        <f t="shared" si="0"/>
        <v>123.24347360600002</v>
      </c>
      <c r="L9" s="32">
        <f t="shared" si="0"/>
        <v>88.894220646999983</v>
      </c>
      <c r="M9" s="32">
        <f t="shared" si="0"/>
        <v>17.137393873000001</v>
      </c>
      <c r="N9" s="32">
        <f t="shared" si="0"/>
        <v>3.7966397719999971</v>
      </c>
    </row>
    <row r="10" spans="1:15" s="31" customFormat="1" ht="12.75">
      <c r="A10" s="30"/>
      <c r="B10" s="34" t="s">
        <v>74</v>
      </c>
      <c r="C10" s="30">
        <f t="shared" si="0"/>
        <v>115</v>
      </c>
      <c r="D10" s="43">
        <f t="shared" si="0"/>
        <v>0</v>
      </c>
      <c r="E10" s="43">
        <f t="shared" si="0"/>
        <v>111.03094354699996</v>
      </c>
      <c r="F10" s="43">
        <f t="shared" si="0"/>
        <v>84.400457815999985</v>
      </c>
      <c r="G10" s="43">
        <f t="shared" si="0"/>
        <v>105.61190824200001</v>
      </c>
      <c r="H10" s="43">
        <f t="shared" si="0"/>
        <v>105.48105706599996</v>
      </c>
      <c r="I10" s="43">
        <f t="shared" si="0"/>
        <v>101.015372196</v>
      </c>
      <c r="J10" s="43">
        <f t="shared" si="0"/>
        <v>78.297474926999996</v>
      </c>
      <c r="K10" s="43">
        <f t="shared" si="0"/>
        <v>99.575359696000021</v>
      </c>
      <c r="L10" s="43">
        <f t="shared" si="0"/>
        <v>78.139820646999993</v>
      </c>
      <c r="M10" s="43">
        <f t="shared" si="0"/>
        <v>5.2824373299999987</v>
      </c>
      <c r="N10" s="43">
        <f t="shared" si="0"/>
        <v>2.5685266619999974</v>
      </c>
    </row>
    <row r="11" spans="1:15" s="31" customFormat="1" ht="25.5">
      <c r="A11" s="30"/>
      <c r="B11" s="34" t="s">
        <v>75</v>
      </c>
      <c r="C11" s="30">
        <f>+C135+C266</f>
        <v>0</v>
      </c>
      <c r="D11" s="30"/>
      <c r="E11" s="30">
        <f t="shared" ref="E11:N11" si="1">+E135+E266</f>
        <v>0</v>
      </c>
      <c r="F11" s="30">
        <f t="shared" si="1"/>
        <v>0</v>
      </c>
      <c r="G11" s="30">
        <f t="shared" si="1"/>
        <v>0</v>
      </c>
      <c r="H11" s="30">
        <f t="shared" si="1"/>
        <v>0</v>
      </c>
      <c r="I11" s="30">
        <f t="shared" si="1"/>
        <v>0</v>
      </c>
      <c r="J11" s="30">
        <f t="shared" si="1"/>
        <v>0</v>
      </c>
      <c r="K11" s="30">
        <f t="shared" si="1"/>
        <v>0</v>
      </c>
      <c r="L11" s="30">
        <f t="shared" si="1"/>
        <v>0</v>
      </c>
      <c r="M11" s="30">
        <f t="shared" si="1"/>
        <v>0</v>
      </c>
      <c r="N11" s="30">
        <f t="shared" si="1"/>
        <v>0</v>
      </c>
    </row>
    <row r="12" spans="1:15" s="31" customFormat="1" ht="12.75">
      <c r="A12" s="30"/>
      <c r="B12" s="34" t="s">
        <v>76</v>
      </c>
      <c r="C12" s="30">
        <f>+C139+C270</f>
        <v>115</v>
      </c>
      <c r="D12" s="30"/>
      <c r="E12" s="43">
        <f t="shared" ref="E12:N12" si="2">+E139+E270</f>
        <v>42.019247703999994</v>
      </c>
      <c r="F12" s="43">
        <f t="shared" si="2"/>
        <v>16.088591409999985</v>
      </c>
      <c r="G12" s="43">
        <f t="shared" si="2"/>
        <v>29.588181947950005</v>
      </c>
      <c r="H12" s="43">
        <f t="shared" si="2"/>
        <v>10.266248809000002</v>
      </c>
      <c r="I12" s="43">
        <f t="shared" si="2"/>
        <v>26.362954869999992</v>
      </c>
      <c r="J12" s="43">
        <f t="shared" si="2"/>
        <v>13.543509999999987</v>
      </c>
      <c r="K12" s="43">
        <f t="shared" si="2"/>
        <v>23.668113909999995</v>
      </c>
      <c r="L12" s="43">
        <f t="shared" si="2"/>
        <v>10.75439999999999</v>
      </c>
      <c r="M12" s="43">
        <f t="shared" si="2"/>
        <v>11.854956543000002</v>
      </c>
      <c r="N12" s="43">
        <f t="shared" si="2"/>
        <v>1.22811311</v>
      </c>
    </row>
    <row r="13" spans="1:15" s="73" customFormat="1" ht="12.75">
      <c r="A13" s="41" t="s">
        <v>17</v>
      </c>
      <c r="B13" s="40" t="s">
        <v>32</v>
      </c>
      <c r="C13" s="41">
        <f>+C14+C135+C139</f>
        <v>230</v>
      </c>
      <c r="D13" s="41"/>
      <c r="E13" s="32">
        <f t="shared" ref="E13:N13" si="3">+E14+E135+E139</f>
        <v>152.64819819799996</v>
      </c>
      <c r="F13" s="32">
        <f t="shared" si="3"/>
        <v>100.35936922599998</v>
      </c>
      <c r="G13" s="32">
        <f t="shared" si="3"/>
        <v>134.81179191295001</v>
      </c>
      <c r="H13" s="32">
        <f t="shared" si="3"/>
        <v>115.35900827499997</v>
      </c>
      <c r="I13" s="32">
        <f t="shared" si="3"/>
        <v>126.990029466</v>
      </c>
      <c r="J13" s="32">
        <f t="shared" si="3"/>
        <v>91.711304926999986</v>
      </c>
      <c r="K13" s="32">
        <f t="shared" si="3"/>
        <v>122.85517600600002</v>
      </c>
      <c r="L13" s="32">
        <f t="shared" si="3"/>
        <v>88.76454064699999</v>
      </c>
      <c r="M13" s="32">
        <f t="shared" si="3"/>
        <v>17.137393873000001</v>
      </c>
      <c r="N13" s="32">
        <f t="shared" si="3"/>
        <v>3.7966397719999971</v>
      </c>
    </row>
    <row r="14" spans="1:15" s="73" customFormat="1" ht="12.75">
      <c r="A14" s="41" t="s">
        <v>7</v>
      </c>
      <c r="B14" s="40" t="s">
        <v>77</v>
      </c>
      <c r="C14" s="32">
        <f>+C15+C16+C17+C18</f>
        <v>115</v>
      </c>
      <c r="D14" s="41"/>
      <c r="E14" s="32">
        <f>+E15+E16+E17+E18</f>
        <v>110.62895049399997</v>
      </c>
      <c r="F14" s="32">
        <f t="shared" ref="F14:N14" si="4">+F15+F16+F17+F18</f>
        <v>84.270777815999992</v>
      </c>
      <c r="G14" s="32">
        <f t="shared" si="4"/>
        <v>105.22360996500001</v>
      </c>
      <c r="H14" s="32">
        <f t="shared" si="4"/>
        <v>105.09275946599996</v>
      </c>
      <c r="I14" s="32">
        <f t="shared" si="4"/>
        <v>100.627074596</v>
      </c>
      <c r="J14" s="32">
        <f t="shared" si="4"/>
        <v>78.167794927000003</v>
      </c>
      <c r="K14" s="32">
        <f t="shared" si="4"/>
        <v>99.18706209600002</v>
      </c>
      <c r="L14" s="32">
        <f t="shared" si="4"/>
        <v>78.010140647</v>
      </c>
      <c r="M14" s="32">
        <f t="shared" si="4"/>
        <v>5.2824373299999987</v>
      </c>
      <c r="N14" s="32">
        <f t="shared" si="4"/>
        <v>2.5685266619999974</v>
      </c>
    </row>
    <row r="15" spans="1:15" s="31" customFormat="1" ht="32.25" customHeight="1">
      <c r="A15" s="30">
        <v>1</v>
      </c>
      <c r="B15" s="47" t="s">
        <v>124</v>
      </c>
      <c r="C15" s="30">
        <v>1</v>
      </c>
      <c r="D15" s="30" t="s">
        <v>125</v>
      </c>
      <c r="E15" s="43">
        <v>50.236542470000003</v>
      </c>
      <c r="F15" s="43">
        <v>50.236542470000003</v>
      </c>
      <c r="G15" s="43">
        <v>47.798835906999997</v>
      </c>
      <c r="H15" s="43">
        <v>47.795684719999997</v>
      </c>
      <c r="I15" s="42">
        <v>47.932000000000002</v>
      </c>
      <c r="J15" s="42">
        <v>47.932000000000002</v>
      </c>
      <c r="K15" s="42">
        <v>47.774345719999999</v>
      </c>
      <c r="L15" s="42">
        <v>47.774345719999999</v>
      </c>
      <c r="M15" s="54">
        <f>+H15-K15</f>
        <v>2.1338999999997554E-2</v>
      </c>
      <c r="N15" s="54">
        <f>+M15</f>
        <v>2.1338999999997554E-2</v>
      </c>
    </row>
    <row r="16" spans="1:15" s="31" customFormat="1" ht="32.25" customHeight="1">
      <c r="A16" s="30">
        <v>2</v>
      </c>
      <c r="B16" s="47" t="s">
        <v>178</v>
      </c>
      <c r="C16" s="30">
        <v>1</v>
      </c>
      <c r="D16" s="30" t="s">
        <v>106</v>
      </c>
      <c r="E16" s="43">
        <v>6.246359988</v>
      </c>
      <c r="F16" s="43">
        <v>6.246359988</v>
      </c>
      <c r="G16" s="43">
        <v>5.9138115689999999</v>
      </c>
      <c r="H16" s="43">
        <v>5.9138099999999998</v>
      </c>
      <c r="I16" s="43">
        <v>5.7059879999999996</v>
      </c>
      <c r="J16" s="43">
        <v>5.7059879999999996</v>
      </c>
      <c r="K16" s="43">
        <v>5.7059879999999996</v>
      </c>
      <c r="L16" s="43">
        <v>5.7059879999999996</v>
      </c>
      <c r="M16" s="54">
        <f>+H16-K16</f>
        <v>0.20782200000000017</v>
      </c>
      <c r="N16" s="55">
        <v>0.20782200000000017</v>
      </c>
    </row>
    <row r="17" spans="1:14" s="31" customFormat="1" ht="12.75">
      <c r="A17" s="30">
        <v>3</v>
      </c>
      <c r="B17" s="47" t="s">
        <v>179</v>
      </c>
      <c r="C17" s="30">
        <v>1</v>
      </c>
      <c r="D17" s="30">
        <v>2021</v>
      </c>
      <c r="E17" s="43">
        <v>6.8450200329999999</v>
      </c>
      <c r="F17" s="43">
        <v>6.8450200329999999</v>
      </c>
      <c r="G17" s="43">
        <v>6.4510481549999996</v>
      </c>
      <c r="H17" s="43">
        <v>6.4487100000000002</v>
      </c>
      <c r="I17" s="43">
        <v>6.195945</v>
      </c>
      <c r="J17" s="43">
        <v>6.195945</v>
      </c>
      <c r="K17" s="43">
        <v>6.195945</v>
      </c>
      <c r="L17" s="43">
        <v>6.195945</v>
      </c>
      <c r="M17" s="54">
        <f>+H17-K17</f>
        <v>0.25276500000000013</v>
      </c>
      <c r="N17" s="61">
        <v>0.25276500000000013</v>
      </c>
    </row>
    <row r="18" spans="1:14" s="31" customFormat="1" ht="12.75">
      <c r="A18" s="30">
        <v>4</v>
      </c>
      <c r="B18" s="34" t="s">
        <v>79</v>
      </c>
      <c r="C18" s="30">
        <f>SUM(C19:C134)</f>
        <v>112</v>
      </c>
      <c r="D18" s="30"/>
      <c r="E18" s="30">
        <f t="shared" ref="E18:N18" si="5">SUM(E19:E134)</f>
        <v>47.301028002999963</v>
      </c>
      <c r="F18" s="30">
        <f t="shared" si="5"/>
        <v>20.942855324999996</v>
      </c>
      <c r="G18" s="30">
        <f t="shared" si="5"/>
        <v>45.059914334000005</v>
      </c>
      <c r="H18" s="30">
        <f t="shared" si="5"/>
        <v>44.934554745999968</v>
      </c>
      <c r="I18" s="30">
        <f t="shared" si="5"/>
        <v>40.793141596000005</v>
      </c>
      <c r="J18" s="30">
        <f t="shared" si="5"/>
        <v>18.333861927000001</v>
      </c>
      <c r="K18" s="30">
        <f t="shared" si="5"/>
        <v>39.51078337600002</v>
      </c>
      <c r="L18" s="30">
        <f t="shared" si="5"/>
        <v>18.333861927000001</v>
      </c>
      <c r="M18" s="30">
        <f t="shared" si="5"/>
        <v>4.8005113300000009</v>
      </c>
      <c r="N18" s="30">
        <f t="shared" si="5"/>
        <v>2.0866006619999995</v>
      </c>
    </row>
    <row r="19" spans="1:14" s="31" customFormat="1" ht="25.5">
      <c r="A19" s="30"/>
      <c r="B19" s="47" t="s">
        <v>90</v>
      </c>
      <c r="C19" s="29">
        <v>1</v>
      </c>
      <c r="D19" s="56" t="s">
        <v>91</v>
      </c>
      <c r="E19" s="43">
        <v>8.2380300000000002</v>
      </c>
      <c r="F19" s="43">
        <v>0.5</v>
      </c>
      <c r="G19" s="43">
        <v>7.6889964160000002</v>
      </c>
      <c r="H19" s="43">
        <v>7.6437210000000002</v>
      </c>
      <c r="I19" s="43">
        <v>5.93</v>
      </c>
      <c r="J19" s="57">
        <v>0.5</v>
      </c>
      <c r="K19" s="43">
        <v>5.93</v>
      </c>
      <c r="L19" s="57">
        <v>0.5</v>
      </c>
      <c r="M19" s="57">
        <f>+H19-I19</f>
        <v>1.7137210000000005</v>
      </c>
      <c r="N19" s="57">
        <f>+F19-J19</f>
        <v>0</v>
      </c>
    </row>
    <row r="20" spans="1:14" s="31" customFormat="1" ht="25.5">
      <c r="A20" s="30"/>
      <c r="B20" s="74" t="s">
        <v>183</v>
      </c>
      <c r="C20" s="46">
        <v>1</v>
      </c>
      <c r="D20" s="39" t="s">
        <v>106</v>
      </c>
      <c r="E20" s="43">
        <v>2.5</v>
      </c>
      <c r="F20" s="43">
        <v>2.5</v>
      </c>
      <c r="G20" s="43">
        <v>2.4230935480000002</v>
      </c>
      <c r="H20" s="43">
        <v>2.3608539999999998</v>
      </c>
      <c r="I20" s="43">
        <v>2.2360280000000001</v>
      </c>
      <c r="J20" s="43">
        <v>2.2360280000000001</v>
      </c>
      <c r="K20" s="43">
        <v>2.2360280000000001</v>
      </c>
      <c r="L20" s="43">
        <v>2.2360280000000001</v>
      </c>
      <c r="M20" s="57">
        <f>+H20-I20</f>
        <v>0.12482599999999966</v>
      </c>
      <c r="N20" s="57">
        <v>0.12482599999999966</v>
      </c>
    </row>
    <row r="21" spans="1:14" s="31" customFormat="1" ht="25.5">
      <c r="A21" s="30"/>
      <c r="B21" s="74" t="s">
        <v>98</v>
      </c>
      <c r="C21" s="46">
        <v>1</v>
      </c>
      <c r="D21" s="39">
        <v>2021</v>
      </c>
      <c r="E21" s="43">
        <v>1.649639109</v>
      </c>
      <c r="F21" s="43">
        <f>+E21-0.369374434</f>
        <v>1.280264675</v>
      </c>
      <c r="G21" s="43">
        <v>1.566333773</v>
      </c>
      <c r="H21" s="43">
        <v>1.5661514700000001</v>
      </c>
      <c r="I21" s="43">
        <v>1.0332444700000001</v>
      </c>
      <c r="J21" s="86">
        <f>+F21-N21</f>
        <v>0.74735767499999994</v>
      </c>
      <c r="K21" s="43">
        <v>1.0332444700000001</v>
      </c>
      <c r="L21" s="86">
        <v>0.74735767499999994</v>
      </c>
      <c r="M21" s="57">
        <f>+H21-K21</f>
        <v>0.53290700000000002</v>
      </c>
      <c r="N21" s="60">
        <v>0.53290700000000002</v>
      </c>
    </row>
    <row r="22" spans="1:14" s="31" customFormat="1" ht="12.75">
      <c r="A22" s="30"/>
      <c r="B22" s="47" t="s">
        <v>133</v>
      </c>
      <c r="C22" s="46">
        <v>1</v>
      </c>
      <c r="D22" s="39">
        <v>2021</v>
      </c>
      <c r="E22" s="43">
        <v>1.794649862</v>
      </c>
      <c r="F22" s="43">
        <v>1.3865623279999999</v>
      </c>
      <c r="G22" s="43">
        <v>1.7484345670000001</v>
      </c>
      <c r="H22" s="43">
        <v>1.743744</v>
      </c>
      <c r="I22" s="43">
        <v>1.06844965</v>
      </c>
      <c r="J22" s="36">
        <v>0.7</v>
      </c>
      <c r="K22" s="43">
        <v>1.06844965</v>
      </c>
      <c r="L22" s="36">
        <v>0.7</v>
      </c>
      <c r="M22" s="57">
        <f>+H22-I22</f>
        <v>0.67529434999999993</v>
      </c>
      <c r="N22" s="43">
        <v>0.67529435000000004</v>
      </c>
    </row>
    <row r="23" spans="1:14" s="31" customFormat="1" ht="12.75">
      <c r="A23" s="30"/>
      <c r="B23" s="37"/>
      <c r="C23" s="46"/>
      <c r="D23" s="39"/>
      <c r="E23" s="35"/>
      <c r="F23" s="35"/>
      <c r="G23" s="35"/>
      <c r="H23" s="35"/>
      <c r="I23" s="35"/>
      <c r="J23" s="36"/>
      <c r="K23" s="35"/>
      <c r="L23" s="36"/>
      <c r="M23" s="57">
        <f t="shared" ref="M23:M134" si="6">+H23-I23</f>
        <v>0</v>
      </c>
      <c r="N23" s="57">
        <f t="shared" ref="N23" si="7">+F23-J23</f>
        <v>0</v>
      </c>
    </row>
    <row r="27" spans="1:14" s="31" customFormat="1" ht="12.75">
      <c r="A27" s="30"/>
      <c r="B27" s="87" t="s">
        <v>169</v>
      </c>
      <c r="C27" s="46">
        <v>1</v>
      </c>
      <c r="D27" s="39">
        <v>2021</v>
      </c>
      <c r="E27" s="61">
        <v>0.23529454299999999</v>
      </c>
      <c r="F27" s="61">
        <v>8.6491999999999999E-2</v>
      </c>
      <c r="G27" s="61">
        <v>0.224008281</v>
      </c>
      <c r="H27" s="61">
        <v>0.22400824</v>
      </c>
      <c r="I27" s="61">
        <v>0.22400824</v>
      </c>
      <c r="J27" s="61">
        <v>8.6491999999999999E-2</v>
      </c>
      <c r="K27" s="61">
        <v>0.22400824</v>
      </c>
      <c r="L27" s="61">
        <v>8.6491999999999999E-2</v>
      </c>
      <c r="M27" s="57">
        <f t="shared" ref="M27:M32" si="8">+H27-I27</f>
        <v>0</v>
      </c>
      <c r="N27" s="61"/>
    </row>
    <row r="28" spans="1:14" s="31" customFormat="1" ht="12.75">
      <c r="A28" s="30"/>
      <c r="B28" s="87" t="s">
        <v>170</v>
      </c>
      <c r="C28" s="46">
        <v>1</v>
      </c>
      <c r="D28" s="39">
        <v>2021</v>
      </c>
      <c r="E28" s="61">
        <v>0.18005642999999999</v>
      </c>
      <c r="F28" s="61">
        <v>8.5279999999999995E-2</v>
      </c>
      <c r="G28" s="61">
        <v>0.17143170399999999</v>
      </c>
      <c r="H28" s="61">
        <v>0.17143138999999999</v>
      </c>
      <c r="I28" s="61">
        <v>0.17143138999999999</v>
      </c>
      <c r="J28" s="61">
        <v>8.5279999999999995E-2</v>
      </c>
      <c r="K28" s="61">
        <v>0.17143138999999999</v>
      </c>
      <c r="L28" s="61">
        <v>8.5279999999999995E-2</v>
      </c>
      <c r="M28" s="57">
        <f t="shared" si="8"/>
        <v>0</v>
      </c>
      <c r="N28" s="61"/>
    </row>
    <row r="29" spans="1:14" s="31" customFormat="1" ht="12.75">
      <c r="A29" s="30"/>
      <c r="B29" s="87" t="s">
        <v>171</v>
      </c>
      <c r="C29" s="46">
        <v>1</v>
      </c>
      <c r="D29" s="39">
        <v>2021</v>
      </c>
      <c r="E29" s="61">
        <v>5.6449079999999999E-2</v>
      </c>
      <c r="F29" s="61">
        <v>2.392E-2</v>
      </c>
      <c r="G29" s="61">
        <v>5.3747588999999998E-2</v>
      </c>
      <c r="H29" s="61">
        <v>5.374756E-2</v>
      </c>
      <c r="I29" s="61">
        <v>5.374756E-2</v>
      </c>
      <c r="J29" s="61">
        <v>2.392E-2</v>
      </c>
      <c r="K29" s="61">
        <v>5.374756E-2</v>
      </c>
      <c r="L29" s="61">
        <v>2.392E-2</v>
      </c>
      <c r="M29" s="57">
        <f t="shared" si="8"/>
        <v>0</v>
      </c>
      <c r="N29" s="61"/>
    </row>
    <row r="30" spans="1:14" s="31" customFormat="1" ht="12.75">
      <c r="A30" s="30"/>
      <c r="B30" s="87" t="s">
        <v>172</v>
      </c>
      <c r="C30" s="46">
        <v>1</v>
      </c>
      <c r="D30" s="39">
        <v>2021</v>
      </c>
      <c r="E30" s="61">
        <v>8.1628685000000006E-2</v>
      </c>
      <c r="F30" s="61">
        <v>2.9315999999999998E-2</v>
      </c>
      <c r="G30" s="61">
        <v>7.7713325E-2</v>
      </c>
      <c r="H30" s="61">
        <v>7.7712719999999999E-2</v>
      </c>
      <c r="I30" s="61">
        <v>7.7712719999999999E-2</v>
      </c>
      <c r="J30" s="61">
        <v>2.9315999999999998E-2</v>
      </c>
      <c r="K30" s="61">
        <v>7.7712719999999999E-2</v>
      </c>
      <c r="L30" s="61">
        <v>2.9315999999999998E-2</v>
      </c>
      <c r="M30" s="57">
        <f t="shared" si="8"/>
        <v>0</v>
      </c>
      <c r="N30" s="61"/>
    </row>
    <row r="31" spans="1:14" s="31" customFormat="1" ht="12.75">
      <c r="A31" s="30"/>
      <c r="B31" s="87" t="s">
        <v>126</v>
      </c>
      <c r="C31" s="46">
        <v>1</v>
      </c>
      <c r="D31" s="39">
        <v>2021</v>
      </c>
      <c r="E31" s="61">
        <v>0.58516245899999997</v>
      </c>
      <c r="F31" s="61">
        <v>8.5400000000000004E-2</v>
      </c>
      <c r="G31" s="61">
        <v>0.55709430000000004</v>
      </c>
      <c r="H31" s="61">
        <v>0.55709372000000001</v>
      </c>
      <c r="I31" s="43">
        <v>0.55705472</v>
      </c>
      <c r="J31" s="36">
        <v>8.5400000000000004E-2</v>
      </c>
      <c r="K31" s="61">
        <v>0.55705472</v>
      </c>
      <c r="L31" s="36">
        <v>8.5400000000000004E-2</v>
      </c>
      <c r="M31" s="57">
        <f t="shared" si="8"/>
        <v>3.9000000000011248E-5</v>
      </c>
      <c r="N31" s="57"/>
    </row>
    <row r="32" spans="1:14" s="31" customFormat="1" ht="12.75">
      <c r="A32" s="30"/>
      <c r="B32" s="87" t="s">
        <v>127</v>
      </c>
      <c r="C32" s="46">
        <v>1</v>
      </c>
      <c r="D32" s="39">
        <v>2021</v>
      </c>
      <c r="E32" s="61">
        <v>0.64718013500000005</v>
      </c>
      <c r="F32" s="61">
        <v>9.2499999999999999E-2</v>
      </c>
      <c r="G32" s="61">
        <v>0.61613789299999999</v>
      </c>
      <c r="H32" s="61">
        <v>0.61613766000000003</v>
      </c>
      <c r="I32" s="43">
        <v>0.61603985999999999</v>
      </c>
      <c r="J32" s="36">
        <v>9.2499999999999999E-2</v>
      </c>
      <c r="K32" s="61">
        <v>0.61603985999999999</v>
      </c>
      <c r="L32" s="36">
        <v>9.2499999999999999E-2</v>
      </c>
      <c r="M32" s="57">
        <f t="shared" si="8"/>
        <v>9.7800000000036746E-5</v>
      </c>
      <c r="N32" s="57"/>
    </row>
    <row r="33" spans="1:14" s="31" customFormat="1" ht="12.75">
      <c r="A33" s="30"/>
      <c r="B33" s="47" t="s">
        <v>92</v>
      </c>
      <c r="C33" s="46">
        <v>1</v>
      </c>
      <c r="D33" s="39">
        <v>2020</v>
      </c>
      <c r="E33" s="43">
        <v>0.43584909500000002</v>
      </c>
      <c r="F33" s="43">
        <v>0.15666559999999999</v>
      </c>
      <c r="G33" s="43">
        <v>0.4221415</v>
      </c>
      <c r="H33" s="43">
        <v>0.4221415</v>
      </c>
      <c r="I33" s="43">
        <v>0.4221415</v>
      </c>
      <c r="J33" s="43">
        <v>0.15666559999999999</v>
      </c>
      <c r="K33" s="43">
        <v>0.4221415</v>
      </c>
      <c r="L33" s="43">
        <v>0.15666559999999999</v>
      </c>
      <c r="M33" s="88">
        <f t="shared" si="6"/>
        <v>0</v>
      </c>
      <c r="N33" s="57"/>
    </row>
    <row r="34" spans="1:14" s="31" customFormat="1" ht="12.75">
      <c r="A34" s="30"/>
      <c r="B34" s="37" t="s">
        <v>93</v>
      </c>
      <c r="C34" s="46">
        <v>1</v>
      </c>
      <c r="D34" s="39">
        <v>2020</v>
      </c>
      <c r="E34" s="43">
        <v>0.122946529</v>
      </c>
      <c r="F34" s="43">
        <v>3.2655999999999998E-2</v>
      </c>
      <c r="G34" s="43">
        <v>0.119035</v>
      </c>
      <c r="H34" s="43">
        <v>0.119035</v>
      </c>
      <c r="I34" s="43">
        <v>0.119035</v>
      </c>
      <c r="J34" s="43">
        <v>3.2655999999999998E-2</v>
      </c>
      <c r="K34" s="43">
        <v>0.119035</v>
      </c>
      <c r="L34" s="43">
        <v>3.2655999999999998E-2</v>
      </c>
      <c r="M34" s="88">
        <f t="shared" si="6"/>
        <v>0</v>
      </c>
      <c r="N34" s="57"/>
    </row>
    <row r="35" spans="1:14" s="31" customFormat="1" ht="12.75">
      <c r="A35" s="30"/>
      <c r="B35" s="37" t="s">
        <v>94</v>
      </c>
      <c r="C35" s="46">
        <v>1</v>
      </c>
      <c r="D35" s="39">
        <v>2020</v>
      </c>
      <c r="E35" s="43">
        <v>0.415815877</v>
      </c>
      <c r="F35" s="43">
        <v>0.15160000000000001</v>
      </c>
      <c r="G35" s="43">
        <v>0.40276800000000001</v>
      </c>
      <c r="H35" s="43">
        <v>0.40276800000000001</v>
      </c>
      <c r="I35" s="43">
        <v>0.40276800000000001</v>
      </c>
      <c r="J35" s="43">
        <v>0.15160000000000001</v>
      </c>
      <c r="K35" s="43">
        <v>0.40276800000000001</v>
      </c>
      <c r="L35" s="43">
        <v>0.15160000000000001</v>
      </c>
      <c r="M35" s="88">
        <f t="shared" si="6"/>
        <v>0</v>
      </c>
      <c r="N35" s="57"/>
    </row>
    <row r="36" spans="1:14" s="31" customFormat="1" ht="12.75">
      <c r="A36" s="30"/>
      <c r="B36" s="37" t="s">
        <v>95</v>
      </c>
      <c r="C36" s="46">
        <v>1</v>
      </c>
      <c r="D36" s="39">
        <v>2020</v>
      </c>
      <c r="E36" s="43">
        <v>0.116136185</v>
      </c>
      <c r="F36" s="43">
        <v>4.2111999999999997E-2</v>
      </c>
      <c r="G36" s="43">
        <v>0.112488</v>
      </c>
      <c r="H36" s="43">
        <v>0.112488</v>
      </c>
      <c r="I36" s="43">
        <v>0.112488</v>
      </c>
      <c r="J36" s="43">
        <v>4.2111999999999997E-2</v>
      </c>
      <c r="K36" s="43">
        <v>0.112488</v>
      </c>
      <c r="L36" s="43">
        <v>4.2111999999999997E-2</v>
      </c>
      <c r="M36" s="88">
        <f t="shared" si="6"/>
        <v>0</v>
      </c>
      <c r="N36" s="57"/>
    </row>
    <row r="37" spans="1:14" s="31" customFormat="1" ht="12.75">
      <c r="A37" s="30"/>
      <c r="B37" s="37" t="s">
        <v>96</v>
      </c>
      <c r="C37" s="46">
        <v>1</v>
      </c>
      <c r="D37" s="39">
        <v>2020</v>
      </c>
      <c r="E37" s="43">
        <v>0.26375304799999999</v>
      </c>
      <c r="F37" s="43">
        <v>9.6079999999999999E-2</v>
      </c>
      <c r="G37" s="43">
        <v>0.25293650000000001</v>
      </c>
      <c r="H37" s="43">
        <v>0.25293650000000001</v>
      </c>
      <c r="I37" s="43">
        <v>0.25293650000000001</v>
      </c>
      <c r="J37" s="43">
        <v>9.6079999999999999E-2</v>
      </c>
      <c r="K37" s="43">
        <v>0.25293650000000001</v>
      </c>
      <c r="L37" s="43">
        <v>9.6079999999999999E-2</v>
      </c>
      <c r="M37" s="88">
        <f t="shared" si="6"/>
        <v>0</v>
      </c>
      <c r="N37" s="57"/>
    </row>
    <row r="38" spans="1:14" s="31" customFormat="1" ht="12.75">
      <c r="A38" s="30"/>
      <c r="B38" s="47" t="s">
        <v>97</v>
      </c>
      <c r="C38" s="46">
        <v>1</v>
      </c>
      <c r="D38" s="39">
        <v>2020</v>
      </c>
      <c r="E38" s="43">
        <v>0.33696720699999999</v>
      </c>
      <c r="F38" s="43">
        <v>9.6000000000000002E-2</v>
      </c>
      <c r="G38" s="43">
        <v>0.32605944999999997</v>
      </c>
      <c r="H38" s="43">
        <v>0.32605944999999997</v>
      </c>
      <c r="I38" s="43">
        <v>0.32605944999999997</v>
      </c>
      <c r="J38" s="43">
        <v>9.6000000000000002E-2</v>
      </c>
      <c r="K38" s="43">
        <v>0.32605944999999997</v>
      </c>
      <c r="L38" s="43">
        <v>9.6000000000000002E-2</v>
      </c>
      <c r="M38" s="88">
        <f t="shared" si="6"/>
        <v>0</v>
      </c>
      <c r="N38" s="57"/>
    </row>
    <row r="39" spans="1:14" s="31" customFormat="1" ht="12.75">
      <c r="A39" s="30"/>
      <c r="B39" s="38" t="s">
        <v>66</v>
      </c>
      <c r="C39" s="46">
        <v>1</v>
      </c>
      <c r="D39" s="39" t="s">
        <v>106</v>
      </c>
      <c r="E39" s="43">
        <v>0.25541440100000001</v>
      </c>
      <c r="F39" s="43">
        <v>0.10432</v>
      </c>
      <c r="G39" s="43">
        <v>0.24602594</v>
      </c>
      <c r="H39" s="43">
        <v>0.24602534000000001</v>
      </c>
      <c r="I39" s="43">
        <v>0.24602534000000001</v>
      </c>
      <c r="J39" s="43">
        <v>0.10432</v>
      </c>
      <c r="K39" s="43">
        <v>0.24602534000000001</v>
      </c>
      <c r="L39" s="43">
        <v>0.10432</v>
      </c>
      <c r="M39" s="88">
        <f t="shared" si="6"/>
        <v>0</v>
      </c>
      <c r="N39" s="57"/>
    </row>
    <row r="40" spans="1:14" s="31" customFormat="1" ht="12.75">
      <c r="A40" s="30"/>
      <c r="B40" s="38" t="s">
        <v>64</v>
      </c>
      <c r="C40" s="46">
        <v>1</v>
      </c>
      <c r="D40" s="39">
        <v>2021</v>
      </c>
      <c r="E40" s="43">
        <v>0.10735492100000001</v>
      </c>
      <c r="F40" s="43">
        <v>4.0571999999999997E-2</v>
      </c>
      <c r="G40" s="43">
        <v>0.10404998</v>
      </c>
      <c r="H40" s="43">
        <v>0.10404977999999999</v>
      </c>
      <c r="I40" s="43">
        <v>0.10404977999999999</v>
      </c>
      <c r="J40" s="43">
        <v>4.0571999999999997E-2</v>
      </c>
      <c r="K40" s="43">
        <v>0.10404977999999999</v>
      </c>
      <c r="L40" s="43">
        <v>4.0571999999999997E-2</v>
      </c>
      <c r="M40" s="88">
        <f t="shared" si="6"/>
        <v>0</v>
      </c>
      <c r="N40" s="57"/>
    </row>
    <row r="41" spans="1:14" s="31" customFormat="1" ht="12.75">
      <c r="A41" s="30"/>
      <c r="B41" s="89" t="s">
        <v>154</v>
      </c>
      <c r="C41" s="46">
        <v>1</v>
      </c>
      <c r="D41" s="39">
        <v>2021</v>
      </c>
      <c r="E41" s="43">
        <v>2.7953166000000002E-2</v>
      </c>
      <c r="F41" s="43">
        <v>2.5100000000000001E-2</v>
      </c>
      <c r="G41" s="43">
        <v>2.6622E-2</v>
      </c>
      <c r="H41" s="43">
        <v>2.6622E-2</v>
      </c>
      <c r="I41" s="43">
        <v>2.6622E-2</v>
      </c>
      <c r="J41" s="43">
        <v>2.5100000000000001E-2</v>
      </c>
      <c r="K41" s="43">
        <v>2.6622E-2</v>
      </c>
      <c r="L41" s="43">
        <v>2.5100000000000001E-2</v>
      </c>
      <c r="M41" s="88">
        <f t="shared" si="6"/>
        <v>0</v>
      </c>
      <c r="N41" s="90"/>
    </row>
    <row r="42" spans="1:14" s="31" customFormat="1" ht="12.75">
      <c r="A42" s="30"/>
      <c r="B42" s="89" t="s">
        <v>63</v>
      </c>
      <c r="C42" s="46">
        <v>1</v>
      </c>
      <c r="D42" s="39">
        <v>2021</v>
      </c>
      <c r="E42" s="43">
        <v>0.10801730599999999</v>
      </c>
      <c r="F42" s="43">
        <v>3.9955999999999998E-2</v>
      </c>
      <c r="G42" s="43">
        <v>0.10468098000000001</v>
      </c>
      <c r="H42" s="43">
        <v>0.10468078</v>
      </c>
      <c r="I42" s="43">
        <v>0.10468078</v>
      </c>
      <c r="J42" s="43">
        <v>3.9955999999999998E-2</v>
      </c>
      <c r="K42" s="43">
        <v>0.10468078</v>
      </c>
      <c r="L42" s="43">
        <v>3.9955999999999998E-2</v>
      </c>
      <c r="M42" s="88">
        <f t="shared" si="6"/>
        <v>0</v>
      </c>
      <c r="N42" s="43"/>
    </row>
    <row r="43" spans="1:14" s="31" customFormat="1" ht="12.75">
      <c r="A43" s="30"/>
      <c r="B43" s="89" t="s">
        <v>65</v>
      </c>
      <c r="C43" s="46">
        <v>1</v>
      </c>
      <c r="D43" s="39">
        <v>2021</v>
      </c>
      <c r="E43" s="43">
        <v>0.53449438599999999</v>
      </c>
      <c r="F43" s="43">
        <v>0.19924800000000001</v>
      </c>
      <c r="G43" s="43">
        <v>0.51798100000000002</v>
      </c>
      <c r="H43" s="43">
        <v>0.51798100000000002</v>
      </c>
      <c r="I43" s="43">
        <v>0.51798100000000002</v>
      </c>
      <c r="J43" s="43">
        <v>0.19924800000000001</v>
      </c>
      <c r="K43" s="43">
        <v>0.51798100000000002</v>
      </c>
      <c r="L43" s="43">
        <v>0.19924800000000001</v>
      </c>
      <c r="M43" s="88">
        <f t="shared" si="6"/>
        <v>0</v>
      </c>
      <c r="N43" s="43"/>
    </row>
    <row r="44" spans="1:14" s="31" customFormat="1" ht="12.75">
      <c r="A44" s="30"/>
      <c r="B44" s="89" t="s">
        <v>55</v>
      </c>
      <c r="C44" s="46">
        <v>1</v>
      </c>
      <c r="D44" s="39">
        <v>2021</v>
      </c>
      <c r="E44" s="43">
        <v>0.375144596</v>
      </c>
      <c r="F44" s="43">
        <v>0.13946800000000001</v>
      </c>
      <c r="G44" s="43">
        <v>0.36353770000000002</v>
      </c>
      <c r="H44" s="43">
        <v>0.36353770000000002</v>
      </c>
      <c r="I44" s="43">
        <v>0.36353770000000002</v>
      </c>
      <c r="J44" s="43">
        <v>0.13946800000000001</v>
      </c>
      <c r="K44" s="43">
        <v>0.36353770000000002</v>
      </c>
      <c r="L44" s="43">
        <v>0.13946800000000001</v>
      </c>
      <c r="M44" s="88">
        <f t="shared" si="6"/>
        <v>0</v>
      </c>
      <c r="N44" s="43"/>
    </row>
    <row r="45" spans="1:14" s="31" customFormat="1" ht="12.75">
      <c r="A45" s="30"/>
      <c r="B45" s="47" t="s">
        <v>177</v>
      </c>
      <c r="C45" s="46">
        <v>1</v>
      </c>
      <c r="D45" s="39">
        <v>2021</v>
      </c>
      <c r="E45" s="43">
        <v>1.5679362299999999</v>
      </c>
      <c r="F45" s="43">
        <v>0.3</v>
      </c>
      <c r="G45" s="43">
        <v>1.503228</v>
      </c>
      <c r="H45" s="43">
        <v>1.4994510000000001</v>
      </c>
      <c r="I45" s="43">
        <v>1.4994510000000001</v>
      </c>
      <c r="J45" s="43">
        <v>0.3</v>
      </c>
      <c r="K45" s="43">
        <v>1.4994510000000001</v>
      </c>
      <c r="L45" s="43">
        <v>0.3</v>
      </c>
      <c r="M45" s="88">
        <f t="shared" si="6"/>
        <v>0</v>
      </c>
      <c r="N45" s="91"/>
    </row>
    <row r="46" spans="1:14" s="31" customFormat="1" ht="12.75">
      <c r="A46" s="30"/>
      <c r="B46" s="47" t="s">
        <v>59</v>
      </c>
      <c r="C46" s="46">
        <v>1</v>
      </c>
      <c r="D46" s="39">
        <v>2021</v>
      </c>
      <c r="E46" s="43">
        <v>0.33937404599999998</v>
      </c>
      <c r="F46" s="43">
        <v>0.2</v>
      </c>
      <c r="G46" s="43">
        <v>0.32318989999999997</v>
      </c>
      <c r="H46" s="43">
        <v>0.32318989999999997</v>
      </c>
      <c r="I46" s="43">
        <v>0.32318989999999997</v>
      </c>
      <c r="J46" s="43">
        <v>0.2</v>
      </c>
      <c r="K46" s="43">
        <v>0.32318989999999997</v>
      </c>
      <c r="L46" s="43">
        <v>0.2</v>
      </c>
      <c r="M46" s="88">
        <f t="shared" si="6"/>
        <v>0</v>
      </c>
      <c r="N46" s="91"/>
    </row>
    <row r="47" spans="1:14" s="31" customFormat="1" ht="12.75">
      <c r="A47" s="30"/>
      <c r="B47" s="47" t="s">
        <v>58</v>
      </c>
      <c r="C47" s="46">
        <v>1</v>
      </c>
      <c r="D47" s="39">
        <v>2021</v>
      </c>
      <c r="E47" s="43">
        <v>0.32195675499999998</v>
      </c>
      <c r="F47" s="43">
        <v>0.2</v>
      </c>
      <c r="G47" s="43">
        <v>0.30660315999999999</v>
      </c>
      <c r="H47" s="43">
        <v>0.30660315999999999</v>
      </c>
      <c r="I47" s="43">
        <v>0.30660315999999999</v>
      </c>
      <c r="J47" s="43">
        <v>0.2</v>
      </c>
      <c r="K47" s="43">
        <v>0.30660315999999999</v>
      </c>
      <c r="L47" s="43">
        <v>0.2</v>
      </c>
      <c r="M47" s="88">
        <f t="shared" si="6"/>
        <v>0</v>
      </c>
      <c r="N47" s="91"/>
    </row>
    <row r="48" spans="1:14" s="31" customFormat="1" ht="25.5">
      <c r="A48" s="30"/>
      <c r="B48" s="47" t="s">
        <v>180</v>
      </c>
      <c r="C48" s="46">
        <v>1</v>
      </c>
      <c r="D48" s="39">
        <v>2021</v>
      </c>
      <c r="E48" s="43">
        <v>0.121615214</v>
      </c>
      <c r="F48" s="43">
        <v>0.1</v>
      </c>
      <c r="G48" s="43">
        <v>0.11580804</v>
      </c>
      <c r="H48" s="43">
        <v>0.11580804</v>
      </c>
      <c r="I48" s="43">
        <v>0.11580804</v>
      </c>
      <c r="J48" s="43">
        <v>0.1</v>
      </c>
      <c r="K48" s="43">
        <v>0.11580804</v>
      </c>
      <c r="L48" s="43">
        <v>0.1</v>
      </c>
      <c r="M48" s="88">
        <f t="shared" si="6"/>
        <v>0</v>
      </c>
      <c r="N48" s="91"/>
    </row>
    <row r="49" spans="1:14" s="31" customFormat="1" ht="12.75">
      <c r="A49" s="30"/>
      <c r="B49" s="47" t="s">
        <v>56</v>
      </c>
      <c r="C49" s="46">
        <v>1</v>
      </c>
      <c r="D49" s="39">
        <v>2021</v>
      </c>
      <c r="E49" s="43">
        <v>0.377665221</v>
      </c>
      <c r="F49" s="92">
        <v>0.2</v>
      </c>
      <c r="G49" s="43">
        <v>0.35965174</v>
      </c>
      <c r="H49" s="43">
        <v>0.35965174</v>
      </c>
      <c r="I49" s="43">
        <v>0.35965174</v>
      </c>
      <c r="J49" s="92">
        <v>0.2</v>
      </c>
      <c r="K49" s="43">
        <v>0.35965174</v>
      </c>
      <c r="L49" s="92">
        <v>0.2</v>
      </c>
      <c r="M49" s="88">
        <f t="shared" si="6"/>
        <v>0</v>
      </c>
      <c r="N49" s="91"/>
    </row>
    <row r="50" spans="1:14" s="31" customFormat="1" ht="12.75">
      <c r="A50" s="30"/>
      <c r="B50" s="47" t="s">
        <v>57</v>
      </c>
      <c r="C50" s="46">
        <v>1</v>
      </c>
      <c r="D50" s="39">
        <v>2021</v>
      </c>
      <c r="E50" s="43">
        <v>0.33112786100000002</v>
      </c>
      <c r="F50" s="92">
        <v>0.2</v>
      </c>
      <c r="G50" s="43">
        <v>0.31533660000000002</v>
      </c>
      <c r="H50" s="43">
        <v>0.31533660000000002</v>
      </c>
      <c r="I50" s="43">
        <v>0.31533660000000002</v>
      </c>
      <c r="J50" s="92">
        <v>0.2</v>
      </c>
      <c r="K50" s="43">
        <v>0.31533660000000002</v>
      </c>
      <c r="L50" s="92">
        <v>0.2</v>
      </c>
      <c r="M50" s="88">
        <f t="shared" si="6"/>
        <v>0</v>
      </c>
      <c r="N50" s="91"/>
    </row>
    <row r="51" spans="1:14" s="31" customFormat="1" ht="12.75">
      <c r="A51" s="30"/>
      <c r="B51" s="47" t="s">
        <v>62</v>
      </c>
      <c r="C51" s="46">
        <v>1</v>
      </c>
      <c r="D51" s="39">
        <v>2021</v>
      </c>
      <c r="E51" s="43">
        <v>0.38112207100000001</v>
      </c>
      <c r="F51" s="43">
        <v>0.2</v>
      </c>
      <c r="G51" s="43">
        <v>0.36294745</v>
      </c>
      <c r="H51" s="43">
        <v>0.36294745</v>
      </c>
      <c r="I51" s="43">
        <v>0.36294745</v>
      </c>
      <c r="J51" s="43">
        <v>0.2</v>
      </c>
      <c r="K51" s="43">
        <v>0.36294745</v>
      </c>
      <c r="L51" s="43">
        <v>0.2</v>
      </c>
      <c r="M51" s="88">
        <f t="shared" si="6"/>
        <v>0</v>
      </c>
      <c r="N51" s="91"/>
    </row>
    <row r="52" spans="1:14" s="31" customFormat="1" ht="25.5">
      <c r="A52" s="30"/>
      <c r="B52" s="47" t="s">
        <v>181</v>
      </c>
      <c r="C52" s="46">
        <v>1</v>
      </c>
      <c r="D52" s="39">
        <v>2021</v>
      </c>
      <c r="E52" s="43">
        <v>0.12831820299999999</v>
      </c>
      <c r="F52" s="43">
        <v>0.1</v>
      </c>
      <c r="G52" s="43">
        <v>0.12219118</v>
      </c>
      <c r="H52" s="43">
        <v>0.12219118</v>
      </c>
      <c r="I52" s="43">
        <v>0.12219118</v>
      </c>
      <c r="J52" s="43">
        <v>0.1</v>
      </c>
      <c r="K52" s="43">
        <v>0.12219118</v>
      </c>
      <c r="L52" s="43">
        <v>0.1</v>
      </c>
      <c r="M52" s="88">
        <f t="shared" si="6"/>
        <v>0</v>
      </c>
      <c r="N52" s="91"/>
    </row>
    <row r="53" spans="1:14" s="31" customFormat="1" ht="12.75">
      <c r="A53" s="30"/>
      <c r="B53" s="47" t="s">
        <v>61</v>
      </c>
      <c r="C53" s="46">
        <v>1</v>
      </c>
      <c r="D53" s="39">
        <v>2021</v>
      </c>
      <c r="E53" s="43">
        <v>0.244717727</v>
      </c>
      <c r="F53" s="43">
        <v>0.2</v>
      </c>
      <c r="G53" s="43">
        <v>0.23304748</v>
      </c>
      <c r="H53" s="43">
        <v>0.23304748</v>
      </c>
      <c r="I53" s="43">
        <v>0.23304748</v>
      </c>
      <c r="J53" s="43">
        <v>0.2</v>
      </c>
      <c r="K53" s="43">
        <v>0.23304748</v>
      </c>
      <c r="L53" s="43">
        <v>0.2</v>
      </c>
      <c r="M53" s="88">
        <f t="shared" si="6"/>
        <v>0</v>
      </c>
      <c r="N53" s="91"/>
    </row>
    <row r="54" spans="1:14" s="31" customFormat="1" ht="12.75">
      <c r="A54" s="30"/>
      <c r="B54" s="47" t="s">
        <v>60</v>
      </c>
      <c r="C54" s="46">
        <v>1</v>
      </c>
      <c r="D54" s="39">
        <v>2021</v>
      </c>
      <c r="E54" s="43">
        <v>0.310228263</v>
      </c>
      <c r="F54" s="43">
        <v>0.2</v>
      </c>
      <c r="G54" s="43">
        <v>0.29543190000000003</v>
      </c>
      <c r="H54" s="43">
        <v>0.29543190000000003</v>
      </c>
      <c r="I54" s="43">
        <v>0.29543190000000003</v>
      </c>
      <c r="J54" s="43">
        <v>0.2</v>
      </c>
      <c r="K54" s="43">
        <v>0.29543190000000003</v>
      </c>
      <c r="L54" s="43">
        <v>0.2</v>
      </c>
      <c r="M54" s="88">
        <f t="shared" si="6"/>
        <v>0</v>
      </c>
      <c r="N54" s="91"/>
    </row>
    <row r="55" spans="1:14" s="31" customFormat="1" ht="25.5">
      <c r="A55" s="30"/>
      <c r="B55" s="47" t="s">
        <v>182</v>
      </c>
      <c r="C55" s="46">
        <v>1</v>
      </c>
      <c r="D55" s="39">
        <v>2021</v>
      </c>
      <c r="E55" s="43">
        <v>0.10702298</v>
      </c>
      <c r="F55" s="43">
        <v>0.1</v>
      </c>
      <c r="G55" s="43">
        <v>0.10192886</v>
      </c>
      <c r="H55" s="43">
        <v>0.10192886</v>
      </c>
      <c r="I55" s="43">
        <v>0.10192886</v>
      </c>
      <c r="J55" s="43">
        <v>0.1</v>
      </c>
      <c r="K55" s="43">
        <v>0.10192886</v>
      </c>
      <c r="L55" s="43">
        <v>0.1</v>
      </c>
      <c r="M55" s="88">
        <f t="shared" si="6"/>
        <v>0</v>
      </c>
      <c r="N55" s="91"/>
    </row>
    <row r="56" spans="1:14" s="31" customFormat="1" ht="25.5">
      <c r="A56" s="30"/>
      <c r="B56" s="38" t="s">
        <v>107</v>
      </c>
      <c r="C56" s="46">
        <v>1</v>
      </c>
      <c r="D56" s="39">
        <v>2021</v>
      </c>
      <c r="E56" s="61">
        <v>0.99596526500000004</v>
      </c>
      <c r="F56" s="61">
        <v>0.99596526500000004</v>
      </c>
      <c r="G56" s="61">
        <v>0.92668485</v>
      </c>
      <c r="H56" s="61">
        <v>0.92659000000000002</v>
      </c>
      <c r="I56" s="61">
        <v>0.92659000000000002</v>
      </c>
      <c r="J56" s="61">
        <v>0.99596526500000004</v>
      </c>
      <c r="K56" s="61">
        <v>0.65</v>
      </c>
      <c r="L56" s="61">
        <v>0.99596526500000004</v>
      </c>
      <c r="M56" s="57">
        <f>+H56-I56</f>
        <v>0</v>
      </c>
      <c r="N56" s="57"/>
    </row>
    <row r="57" spans="1:14" s="31" customFormat="1" ht="12.75">
      <c r="A57" s="30"/>
      <c r="B57" s="38" t="s">
        <v>108</v>
      </c>
      <c r="C57" s="46">
        <v>1</v>
      </c>
      <c r="D57" s="39">
        <v>2021</v>
      </c>
      <c r="E57" s="61">
        <v>0.101048871</v>
      </c>
      <c r="F57" s="61">
        <v>8.9537019999999995E-2</v>
      </c>
      <c r="G57" s="61">
        <v>9.6229999999999996E-2</v>
      </c>
      <c r="H57" s="61">
        <v>9.6229999999999996E-2</v>
      </c>
      <c r="I57" s="61">
        <v>9.6229999999999996E-2</v>
      </c>
      <c r="J57" s="61">
        <v>8.9537019999999995E-2</v>
      </c>
      <c r="K57" s="61">
        <v>5.6693E-2</v>
      </c>
      <c r="L57" s="61">
        <v>8.9537019999999995E-2</v>
      </c>
      <c r="M57" s="57">
        <f t="shared" ref="M57:M73" si="9">+H57-I57</f>
        <v>0</v>
      </c>
      <c r="N57" s="57"/>
    </row>
    <row r="58" spans="1:14" s="31" customFormat="1" ht="12.75">
      <c r="A58" s="30"/>
      <c r="B58" s="38" t="s">
        <v>109</v>
      </c>
      <c r="C58" s="46">
        <v>1</v>
      </c>
      <c r="D58" s="39">
        <v>2021</v>
      </c>
      <c r="E58" s="61">
        <v>0.112790846</v>
      </c>
      <c r="F58" s="61">
        <v>9.9379853000000004E-2</v>
      </c>
      <c r="G58" s="61">
        <v>0.107411453</v>
      </c>
      <c r="H58" s="61">
        <v>0.10741059999999999</v>
      </c>
      <c r="I58" s="61">
        <v>0.10741059999999999</v>
      </c>
      <c r="J58" s="61">
        <v>9.9379853000000004E-2</v>
      </c>
      <c r="K58" s="61">
        <v>5.8031600000000003E-2</v>
      </c>
      <c r="L58" s="61">
        <v>9.9379853000000004E-2</v>
      </c>
      <c r="M58" s="57">
        <f t="shared" si="9"/>
        <v>0</v>
      </c>
      <c r="N58" s="57"/>
    </row>
    <row r="59" spans="1:14" s="31" customFormat="1" ht="12.75">
      <c r="A59" s="30"/>
      <c r="B59" s="38" t="s">
        <v>110</v>
      </c>
      <c r="C59" s="46">
        <v>1</v>
      </c>
      <c r="D59" s="39">
        <v>2021</v>
      </c>
      <c r="E59" s="61">
        <v>0.102007284</v>
      </c>
      <c r="F59" s="61">
        <v>9.5273793999999995E-2</v>
      </c>
      <c r="G59" s="61">
        <v>9.7147040000000004E-2</v>
      </c>
      <c r="H59" s="61">
        <v>9.7147040000000004E-2</v>
      </c>
      <c r="I59" s="61">
        <v>9.7147040000000004E-2</v>
      </c>
      <c r="J59" s="61">
        <v>9.5273793999999995E-2</v>
      </c>
      <c r="K59" s="61">
        <v>5.1874040000000003E-2</v>
      </c>
      <c r="L59" s="61">
        <v>9.5273793999999995E-2</v>
      </c>
      <c r="M59" s="57">
        <f t="shared" si="9"/>
        <v>0</v>
      </c>
      <c r="N59" s="57"/>
    </row>
    <row r="60" spans="1:14" s="31" customFormat="1" ht="12.75">
      <c r="A60" s="30"/>
      <c r="B60" s="38" t="s">
        <v>49</v>
      </c>
      <c r="C60" s="46">
        <v>1</v>
      </c>
      <c r="D60" s="39">
        <v>2021</v>
      </c>
      <c r="E60" s="61">
        <v>0.49497422400000002</v>
      </c>
      <c r="F60" s="61">
        <v>0.18423999999999999</v>
      </c>
      <c r="G60" s="61">
        <v>0.47974</v>
      </c>
      <c r="H60" s="61">
        <v>0.47974</v>
      </c>
      <c r="I60" s="61">
        <v>0.47974</v>
      </c>
      <c r="J60" s="61">
        <v>0.18423999999999999</v>
      </c>
      <c r="K60" s="61">
        <v>0.44282974000000003</v>
      </c>
      <c r="L60" s="61">
        <v>0.18423999999999999</v>
      </c>
      <c r="M60" s="57">
        <f t="shared" si="9"/>
        <v>0</v>
      </c>
      <c r="N60" s="57"/>
    </row>
    <row r="61" spans="1:14" s="31" customFormat="1" ht="12.75">
      <c r="A61" s="30"/>
      <c r="B61" s="38" t="s">
        <v>111</v>
      </c>
      <c r="C61" s="46">
        <v>1</v>
      </c>
      <c r="D61" s="39">
        <v>2021</v>
      </c>
      <c r="E61" s="61">
        <v>0.26075554499999998</v>
      </c>
      <c r="F61" s="61">
        <v>9.7299999999999998E-2</v>
      </c>
      <c r="G61" s="61">
        <v>0.25271199999999999</v>
      </c>
      <c r="H61" s="61">
        <v>0.25271199999999999</v>
      </c>
      <c r="I61" s="61">
        <v>0.25271199999999999</v>
      </c>
      <c r="J61" s="61">
        <v>9.7299999999999998E-2</v>
      </c>
      <c r="K61" s="61">
        <v>0.23311452999999999</v>
      </c>
      <c r="L61" s="61">
        <v>9.7299999999999998E-2</v>
      </c>
      <c r="M61" s="57">
        <f t="shared" si="9"/>
        <v>0</v>
      </c>
      <c r="N61" s="57"/>
    </row>
    <row r="62" spans="1:14" s="31" customFormat="1" ht="12.75">
      <c r="A62" s="30"/>
      <c r="B62" s="38" t="s">
        <v>112</v>
      </c>
      <c r="C62" s="46">
        <v>1</v>
      </c>
      <c r="D62" s="39">
        <v>2021</v>
      </c>
      <c r="E62" s="61">
        <v>0.39011409899999999</v>
      </c>
      <c r="F62" s="61">
        <v>0.2</v>
      </c>
      <c r="G62" s="61">
        <v>0.38520100000000002</v>
      </c>
      <c r="H62" s="61">
        <v>0.38520100000000002</v>
      </c>
      <c r="I62" s="61">
        <v>0.38520100000000002</v>
      </c>
      <c r="J62" s="61">
        <v>0.2</v>
      </c>
      <c r="K62" s="61">
        <v>0.22851218000000001</v>
      </c>
      <c r="L62" s="61">
        <v>0.2</v>
      </c>
      <c r="M62" s="57">
        <f t="shared" si="9"/>
        <v>0</v>
      </c>
      <c r="N62" s="57"/>
    </row>
    <row r="63" spans="1:14" s="31" customFormat="1" ht="12.75">
      <c r="A63" s="30"/>
      <c r="B63" s="38" t="s">
        <v>113</v>
      </c>
      <c r="C63" s="46">
        <v>1</v>
      </c>
      <c r="D63" s="39">
        <v>2021</v>
      </c>
      <c r="E63" s="61">
        <v>9.3156983999999998E-2</v>
      </c>
      <c r="F63" s="61">
        <v>8.3159937000000003E-2</v>
      </c>
      <c r="G63" s="61">
        <v>8.8715127000000005E-2</v>
      </c>
      <c r="H63" s="61">
        <v>8.8714189999999998E-2</v>
      </c>
      <c r="I63" s="61">
        <v>8.8714189999999998E-2</v>
      </c>
      <c r="J63" s="61">
        <v>8.3159937000000003E-2</v>
      </c>
      <c r="K63" s="61">
        <v>5.5555189999999997E-2</v>
      </c>
      <c r="L63" s="61">
        <v>8.3159937000000003E-2</v>
      </c>
      <c r="M63" s="57">
        <f t="shared" si="9"/>
        <v>0</v>
      </c>
      <c r="N63" s="57"/>
    </row>
    <row r="64" spans="1:14" s="31" customFormat="1" ht="12.75">
      <c r="A64" s="30"/>
      <c r="B64" s="38" t="s">
        <v>114</v>
      </c>
      <c r="C64" s="46">
        <v>1</v>
      </c>
      <c r="D64" s="39">
        <v>2021</v>
      </c>
      <c r="E64" s="61">
        <v>0.332377961</v>
      </c>
      <c r="F64" s="61">
        <v>0.122808</v>
      </c>
      <c r="G64" s="61">
        <v>0.32205299999999998</v>
      </c>
      <c r="H64" s="61">
        <v>0.32204566000000001</v>
      </c>
      <c r="I64" s="61">
        <v>0.32204566000000001</v>
      </c>
      <c r="J64" s="61">
        <v>0.122808</v>
      </c>
      <c r="K64" s="61">
        <v>0.29733766</v>
      </c>
      <c r="L64" s="61">
        <v>0.122808</v>
      </c>
      <c r="M64" s="57">
        <f t="shared" si="9"/>
        <v>0</v>
      </c>
      <c r="N64" s="57"/>
    </row>
    <row r="65" spans="1:15" s="31" customFormat="1" ht="12.75">
      <c r="A65" s="30"/>
      <c r="B65" s="38" t="s">
        <v>115</v>
      </c>
      <c r="C65" s="46">
        <v>1</v>
      </c>
      <c r="D65" s="39">
        <v>2021</v>
      </c>
      <c r="E65" s="61">
        <v>0.28604352500000002</v>
      </c>
      <c r="F65" s="61">
        <v>0.2</v>
      </c>
      <c r="G65" s="61">
        <v>0.27239400000000002</v>
      </c>
      <c r="H65" s="61">
        <v>0.27239400000000002</v>
      </c>
      <c r="I65" s="61">
        <v>0.27239400000000002</v>
      </c>
      <c r="J65" s="61">
        <v>0.2</v>
      </c>
      <c r="K65" s="61">
        <v>0.12670507</v>
      </c>
      <c r="L65" s="61">
        <v>0.2</v>
      </c>
      <c r="M65" s="57">
        <f t="shared" si="9"/>
        <v>0</v>
      </c>
      <c r="N65" s="57"/>
    </row>
    <row r="66" spans="1:15" s="31" customFormat="1" ht="12.75">
      <c r="A66" s="30"/>
      <c r="B66" s="38" t="s">
        <v>116</v>
      </c>
      <c r="C66" s="46">
        <v>1</v>
      </c>
      <c r="D66" s="39">
        <v>2021</v>
      </c>
      <c r="E66" s="61">
        <v>0.35749997</v>
      </c>
      <c r="F66" s="61">
        <v>0.2</v>
      </c>
      <c r="G66" s="61">
        <v>0.34045199999999998</v>
      </c>
      <c r="H66" s="61">
        <v>0.34042391999999999</v>
      </c>
      <c r="I66" s="61">
        <v>0.34042391999999999</v>
      </c>
      <c r="J66" s="61">
        <v>0.2</v>
      </c>
      <c r="K66" s="61">
        <v>0.24042392000000001</v>
      </c>
      <c r="L66" s="61">
        <v>0.2</v>
      </c>
      <c r="M66" s="57">
        <f t="shared" si="9"/>
        <v>0</v>
      </c>
      <c r="N66" s="57"/>
    </row>
    <row r="67" spans="1:15" s="31" customFormat="1" ht="12.75">
      <c r="A67" s="30"/>
      <c r="B67" s="38" t="s">
        <v>117</v>
      </c>
      <c r="C67" s="46">
        <v>1</v>
      </c>
      <c r="D67" s="39">
        <v>2021</v>
      </c>
      <c r="E67" s="61">
        <v>0.34885863</v>
      </c>
      <c r="F67" s="61">
        <v>0.2</v>
      </c>
      <c r="G67" s="61">
        <v>0.33222200000000002</v>
      </c>
      <c r="H67" s="61">
        <v>0.33222200000000002</v>
      </c>
      <c r="I67" s="61">
        <v>0.33222200000000002</v>
      </c>
      <c r="J67" s="61">
        <v>0.2</v>
      </c>
      <c r="K67" s="61">
        <v>0.22315778</v>
      </c>
      <c r="L67" s="61">
        <v>0.2</v>
      </c>
      <c r="M67" s="57">
        <f t="shared" si="9"/>
        <v>0</v>
      </c>
      <c r="N67" s="57"/>
    </row>
    <row r="68" spans="1:15" s="31" customFormat="1" ht="12.75">
      <c r="A68" s="30"/>
      <c r="B68" s="38" t="s">
        <v>118</v>
      </c>
      <c r="C68" s="46">
        <v>1</v>
      </c>
      <c r="D68" s="39">
        <v>2021</v>
      </c>
      <c r="E68" s="61">
        <v>0.344219477</v>
      </c>
      <c r="F68" s="61">
        <v>0.2</v>
      </c>
      <c r="G68" s="61">
        <v>0.32780300000000001</v>
      </c>
      <c r="H68" s="61">
        <v>0.32779243000000002</v>
      </c>
      <c r="I68" s="61">
        <v>0.32779243000000002</v>
      </c>
      <c r="J68" s="61">
        <v>0.2</v>
      </c>
      <c r="K68" s="61">
        <v>0.22779242999999999</v>
      </c>
      <c r="L68" s="61">
        <v>0.2</v>
      </c>
      <c r="M68" s="57">
        <f t="shared" si="9"/>
        <v>0</v>
      </c>
      <c r="N68" s="57"/>
    </row>
    <row r="69" spans="1:15" s="31" customFormat="1" ht="12.75">
      <c r="A69" s="30"/>
      <c r="B69" s="38" t="s">
        <v>119</v>
      </c>
      <c r="C69" s="46">
        <v>1</v>
      </c>
      <c r="D69" s="39">
        <v>2021</v>
      </c>
      <c r="E69" s="61">
        <v>8.7613592000000004E-2</v>
      </c>
      <c r="F69" s="61">
        <v>7.9823515999999997E-2</v>
      </c>
      <c r="G69" s="61">
        <v>8.3437735999999998E-2</v>
      </c>
      <c r="H69" s="61">
        <v>8.3437220000000006E-2</v>
      </c>
      <c r="I69" s="61">
        <v>8.3437220000000006E-2</v>
      </c>
      <c r="J69" s="61">
        <v>7.9823515999999997E-2</v>
      </c>
      <c r="K69" s="61">
        <v>5.3614219999999997E-2</v>
      </c>
      <c r="L69" s="61">
        <v>7.9823515999999997E-2</v>
      </c>
      <c r="M69" s="57">
        <f t="shared" si="9"/>
        <v>0</v>
      </c>
      <c r="N69" s="57"/>
    </row>
    <row r="70" spans="1:15" s="31" customFormat="1" ht="12.75">
      <c r="A70" s="30"/>
      <c r="B70" s="38" t="s">
        <v>120</v>
      </c>
      <c r="C70" s="46">
        <v>1</v>
      </c>
      <c r="D70" s="39">
        <v>2021</v>
      </c>
      <c r="E70" s="61">
        <v>0.11052572099999999</v>
      </c>
      <c r="F70" s="61">
        <v>0.1</v>
      </c>
      <c r="G70" s="61">
        <v>0.105269</v>
      </c>
      <c r="H70" s="61">
        <v>0.105269</v>
      </c>
      <c r="I70" s="61">
        <v>0.105269</v>
      </c>
      <c r="J70" s="61">
        <v>0.1</v>
      </c>
      <c r="K70" s="61">
        <v>5.3748079999999997E-2</v>
      </c>
      <c r="L70" s="61">
        <v>0.1</v>
      </c>
      <c r="M70" s="57">
        <f t="shared" si="9"/>
        <v>0</v>
      </c>
      <c r="N70" s="57"/>
    </row>
    <row r="71" spans="1:15" s="31" customFormat="1" ht="12.75">
      <c r="A71" s="30"/>
      <c r="B71" s="38" t="s">
        <v>121</v>
      </c>
      <c r="C71" s="46">
        <v>1</v>
      </c>
      <c r="D71" s="39">
        <v>2021</v>
      </c>
      <c r="E71" s="61">
        <v>0.11055696</v>
      </c>
      <c r="F71" s="61">
        <v>4.752E-2</v>
      </c>
      <c r="G71" s="61">
        <v>0.10655000000000001</v>
      </c>
      <c r="H71" s="61">
        <v>0.10655000000000001</v>
      </c>
      <c r="I71" s="61">
        <v>0.10655000000000001</v>
      </c>
      <c r="J71" s="61">
        <v>4.752E-2</v>
      </c>
      <c r="K71" s="61">
        <v>8.4033399999999994E-2</v>
      </c>
      <c r="L71" s="61">
        <v>4.752E-2</v>
      </c>
      <c r="M71" s="57">
        <f t="shared" si="9"/>
        <v>0</v>
      </c>
      <c r="N71" s="57"/>
    </row>
    <row r="72" spans="1:15" s="31" customFormat="1" ht="12.75">
      <c r="A72" s="30"/>
      <c r="B72" s="38" t="s">
        <v>122</v>
      </c>
      <c r="C72" s="46">
        <v>1</v>
      </c>
      <c r="D72" s="39">
        <v>2021</v>
      </c>
      <c r="E72" s="61">
        <v>5.2200294000000001E-2</v>
      </c>
      <c r="F72" s="61">
        <v>2.24E-2</v>
      </c>
      <c r="G72" s="61">
        <v>5.0310000000000001E-2</v>
      </c>
      <c r="H72" s="61">
        <v>5.0310000000000001E-2</v>
      </c>
      <c r="I72" s="61">
        <v>5.0310000000000001E-2</v>
      </c>
      <c r="J72" s="61">
        <v>2.24E-2</v>
      </c>
      <c r="K72" s="61">
        <v>2.9947399999999999E-2</v>
      </c>
      <c r="L72" s="61">
        <v>2.24E-2</v>
      </c>
      <c r="M72" s="57">
        <f t="shared" si="9"/>
        <v>0</v>
      </c>
      <c r="N72" s="57"/>
    </row>
    <row r="73" spans="1:15" s="31" customFormat="1" ht="12.75">
      <c r="A73" s="30"/>
      <c r="B73" s="38" t="s">
        <v>123</v>
      </c>
      <c r="C73" s="46">
        <v>1</v>
      </c>
      <c r="D73" s="39">
        <v>2021</v>
      </c>
      <c r="E73" s="61">
        <v>3.9505480000000003E-2</v>
      </c>
      <c r="F73" s="61">
        <v>3.5279267000000003E-2</v>
      </c>
      <c r="G73" s="61">
        <v>3.7621817000000002E-2</v>
      </c>
      <c r="H73" s="61">
        <v>3.7621549999999997E-2</v>
      </c>
      <c r="I73" s="61">
        <v>3.7621549999999997E-2</v>
      </c>
      <c r="J73" s="61">
        <v>3.5279267000000003E-2</v>
      </c>
      <c r="K73" s="61">
        <v>3.7542550000000001E-2</v>
      </c>
      <c r="L73" s="61">
        <v>3.5279267000000003E-2</v>
      </c>
      <c r="M73" s="57">
        <f t="shared" si="9"/>
        <v>0</v>
      </c>
      <c r="N73" s="57"/>
    </row>
    <row r="74" spans="1:15" s="31" customFormat="1" ht="25.5">
      <c r="A74" s="30"/>
      <c r="B74" s="38" t="s">
        <v>99</v>
      </c>
      <c r="C74" s="46">
        <v>1</v>
      </c>
      <c r="D74" s="39">
        <v>2021</v>
      </c>
      <c r="E74" s="43">
        <v>7.5603482999999999E-2</v>
      </c>
      <c r="F74" s="43">
        <v>2.8000000000000001E-2</v>
      </c>
      <c r="G74" s="43">
        <v>7.1976997000000001E-2</v>
      </c>
      <c r="H74" s="43">
        <v>7.1976680000000001E-2</v>
      </c>
      <c r="I74" s="43">
        <f>0.04397668+0.028</f>
        <v>7.1976680000000001E-2</v>
      </c>
      <c r="J74" s="43">
        <v>2.8000000000000001E-2</v>
      </c>
      <c r="K74" s="43">
        <f>0.04397668+0.028</f>
        <v>7.1976680000000001E-2</v>
      </c>
      <c r="L74" s="43">
        <v>2.8000000000000001E-2</v>
      </c>
      <c r="M74" s="57">
        <f>+K74</f>
        <v>7.1976680000000001E-2</v>
      </c>
      <c r="N74" s="57"/>
    </row>
    <row r="75" spans="1:15" s="31" customFormat="1" ht="12.75">
      <c r="A75" s="30"/>
      <c r="B75" s="38" t="s">
        <v>100</v>
      </c>
      <c r="C75" s="46">
        <v>1</v>
      </c>
      <c r="D75" s="39">
        <v>2021</v>
      </c>
      <c r="E75" s="43">
        <v>0.124925061</v>
      </c>
      <c r="F75" s="43">
        <v>4.2644000000000001E-2</v>
      </c>
      <c r="G75" s="43">
        <v>0.118934599</v>
      </c>
      <c r="H75" s="43">
        <v>0.11893434999999999</v>
      </c>
      <c r="I75" s="43">
        <f>0.07545335+0.0426+0.000837</f>
        <v>0.11889035000000001</v>
      </c>
      <c r="J75" s="43">
        <v>4.2599999999999999E-2</v>
      </c>
      <c r="K75" s="43">
        <f>0.07545335+0.0426+0.000837</f>
        <v>0.11889035000000001</v>
      </c>
      <c r="L75" s="43">
        <v>4.2599999999999999E-2</v>
      </c>
      <c r="M75" s="57">
        <f t="shared" ref="M75:M78" si="10">+K75</f>
        <v>0.11889035000000001</v>
      </c>
      <c r="N75" s="57"/>
    </row>
    <row r="76" spans="1:15" s="31" customFormat="1" ht="12.75">
      <c r="A76" s="30"/>
      <c r="B76" s="38" t="s">
        <v>101</v>
      </c>
      <c r="C76" s="46">
        <v>1</v>
      </c>
      <c r="D76" s="39">
        <v>2021</v>
      </c>
      <c r="E76" s="43">
        <v>0.188171225</v>
      </c>
      <c r="F76" s="43">
        <v>6.1795999999999997E-2</v>
      </c>
      <c r="G76" s="43">
        <v>0.17915014000000001</v>
      </c>
      <c r="H76" s="43">
        <v>0.17914944999999999</v>
      </c>
      <c r="I76" s="43">
        <f>0.11735345+0.0617</f>
        <v>0.17905345</v>
      </c>
      <c r="J76" s="43">
        <v>6.1699999999999998E-2</v>
      </c>
      <c r="K76" s="43">
        <f>0.11735345+0.0617</f>
        <v>0.17905345</v>
      </c>
      <c r="L76" s="43">
        <v>6.1699999999999998E-2</v>
      </c>
      <c r="M76" s="57">
        <f t="shared" si="10"/>
        <v>0.17905345</v>
      </c>
      <c r="N76" s="57"/>
    </row>
    <row r="77" spans="1:15" s="31" customFormat="1" ht="12.75">
      <c r="A77" s="30"/>
      <c r="B77" s="38" t="s">
        <v>102</v>
      </c>
      <c r="C77" s="46">
        <v>1</v>
      </c>
      <c r="D77" s="39">
        <v>2021</v>
      </c>
      <c r="E77" s="43">
        <v>0.186936558</v>
      </c>
      <c r="F77" s="43">
        <v>6.9159999999999999E-2</v>
      </c>
      <c r="G77" s="43">
        <v>0.177969717</v>
      </c>
      <c r="H77" s="43">
        <v>0.17796890000000001</v>
      </c>
      <c r="I77" s="43">
        <f>0.1088089+0.0691</f>
        <v>0.17790889999999998</v>
      </c>
      <c r="J77" s="43">
        <v>6.9099999999999995E-2</v>
      </c>
      <c r="K77" s="43">
        <f>0.1088089+0.0691</f>
        <v>0.17790889999999998</v>
      </c>
      <c r="L77" s="43">
        <v>6.9099999999999995E-2</v>
      </c>
      <c r="M77" s="57">
        <f t="shared" si="10"/>
        <v>0.17790889999999998</v>
      </c>
      <c r="N77" s="57"/>
    </row>
    <row r="78" spans="1:15" s="31" customFormat="1" ht="12.75">
      <c r="A78" s="30"/>
      <c r="B78" s="38" t="s">
        <v>103</v>
      </c>
      <c r="C78" s="46">
        <v>1</v>
      </c>
      <c r="D78" s="39">
        <v>2021</v>
      </c>
      <c r="E78" s="43">
        <v>9.4784561000000003E-2</v>
      </c>
      <c r="F78" s="43">
        <v>4.752E-2</v>
      </c>
      <c r="G78" s="43">
        <v>9.0244409999999997E-2</v>
      </c>
      <c r="H78" s="43">
        <v>9.0244400000000002E-2</v>
      </c>
      <c r="I78" s="43">
        <f>0.017291+0.0254334+0.0475</f>
        <v>9.0224399999999996E-2</v>
      </c>
      <c r="J78" s="43">
        <v>4.7500000000000001E-2</v>
      </c>
      <c r="K78" s="43">
        <f>0.017291+0.0254334+0.0475</f>
        <v>9.0224399999999996E-2</v>
      </c>
      <c r="L78" s="43">
        <v>4.7500000000000001E-2</v>
      </c>
      <c r="M78" s="57">
        <f t="shared" si="10"/>
        <v>9.0224399999999996E-2</v>
      </c>
      <c r="N78" s="57"/>
    </row>
    <row r="79" spans="1:15" s="31" customFormat="1" ht="12.75">
      <c r="A79" s="30"/>
      <c r="B79" s="38" t="s">
        <v>104</v>
      </c>
      <c r="C79" s="46">
        <v>1</v>
      </c>
      <c r="D79" s="39">
        <v>2021</v>
      </c>
      <c r="E79" s="43">
        <v>1.1589427269999999</v>
      </c>
      <c r="F79" s="43">
        <v>0.30814000000000002</v>
      </c>
      <c r="G79" s="43">
        <v>1.1188580829999999</v>
      </c>
      <c r="H79" s="43">
        <v>1.1188572000000001</v>
      </c>
      <c r="I79" s="93">
        <v>0.86307120000000004</v>
      </c>
      <c r="J79" s="43">
        <v>0.30814000000000002</v>
      </c>
      <c r="K79" s="93">
        <v>0.86307120000000004</v>
      </c>
      <c r="L79" s="43">
        <v>0.30814000000000002</v>
      </c>
      <c r="M79" s="57">
        <f>+H79-I79</f>
        <v>0.25578600000000007</v>
      </c>
      <c r="N79" s="57">
        <f>+F79-J79</f>
        <v>0</v>
      </c>
    </row>
    <row r="80" spans="1:15" s="31" customFormat="1" ht="25.5">
      <c r="A80" s="30"/>
      <c r="B80" s="38" t="s">
        <v>105</v>
      </c>
      <c r="C80" s="46">
        <v>1</v>
      </c>
      <c r="D80" s="39" t="s">
        <v>106</v>
      </c>
      <c r="E80" s="72">
        <v>0.19996042999999999</v>
      </c>
      <c r="F80" s="72">
        <v>0.19996042999999999</v>
      </c>
      <c r="G80" s="72">
        <v>0.19991500000000001</v>
      </c>
      <c r="H80" s="72">
        <v>0.19991500000000001</v>
      </c>
      <c r="I80" s="72">
        <v>0.19991500000000001</v>
      </c>
      <c r="J80" s="72">
        <v>0.19991500000000001</v>
      </c>
      <c r="K80" s="72">
        <v>0.19991500000000001</v>
      </c>
      <c r="L80" s="72">
        <v>0.19991500000000001</v>
      </c>
      <c r="M80" s="94">
        <f>+H80-I80</f>
        <v>0</v>
      </c>
      <c r="N80" s="72">
        <v>0</v>
      </c>
      <c r="O80" s="95"/>
    </row>
    <row r="81" spans="1:15" s="31" customFormat="1" ht="12.75">
      <c r="A81" s="30"/>
      <c r="B81" s="47" t="s">
        <v>47</v>
      </c>
      <c r="C81" s="46">
        <v>1</v>
      </c>
      <c r="D81" s="39">
        <v>2021</v>
      </c>
      <c r="E81" s="72">
        <v>0.48211642900000001</v>
      </c>
      <c r="F81" s="72">
        <v>0.15937599999999999</v>
      </c>
      <c r="G81" s="72">
        <v>0.45900107400000001</v>
      </c>
      <c r="H81" s="72">
        <v>0.45900057</v>
      </c>
      <c r="I81" s="72">
        <f>0.15052557+0.149+0.1593</f>
        <v>0.45882557000000002</v>
      </c>
      <c r="J81" s="94">
        <v>0.1593</v>
      </c>
      <c r="K81" s="72">
        <f>0.15052557+0.149+0.1593</f>
        <v>0.45882557000000002</v>
      </c>
      <c r="L81" s="94">
        <v>0.1593</v>
      </c>
      <c r="M81" s="94">
        <f>+H81-I81</f>
        <v>1.7499999999998073E-4</v>
      </c>
      <c r="N81" s="72">
        <v>0</v>
      </c>
    </row>
    <row r="82" spans="1:15" s="31" customFormat="1" ht="12.75">
      <c r="A82" s="30"/>
      <c r="B82" s="47" t="s">
        <v>142</v>
      </c>
      <c r="C82" s="46">
        <v>1</v>
      </c>
      <c r="D82" s="39">
        <v>2021</v>
      </c>
      <c r="E82" s="72">
        <v>0.13041341000000001</v>
      </c>
      <c r="F82" s="72">
        <v>3.6903999999999999E-2</v>
      </c>
      <c r="G82" s="72">
        <v>0.124162508</v>
      </c>
      <c r="H82" s="72">
        <v>0.12416226</v>
      </c>
      <c r="I82" s="72">
        <f>0.03895326+0.0369+0.048</f>
        <v>0.12385326000000001</v>
      </c>
      <c r="J82" s="94">
        <f>L82</f>
        <v>3.6900000000000002E-2</v>
      </c>
      <c r="K82" s="72">
        <f>0.03895326+0.0369+0.048</f>
        <v>0.12385326000000001</v>
      </c>
      <c r="L82" s="94">
        <v>3.6900000000000002E-2</v>
      </c>
      <c r="M82" s="94">
        <f t="shared" ref="M82:M83" si="11">+H82-I82</f>
        <v>3.0899999999998984E-4</v>
      </c>
      <c r="N82" s="72">
        <v>0</v>
      </c>
    </row>
    <row r="83" spans="1:15" s="31" customFormat="1" ht="12.75">
      <c r="A83" s="30"/>
      <c r="B83" s="47" t="s">
        <v>48</v>
      </c>
      <c r="C83" s="46">
        <v>1</v>
      </c>
      <c r="D83" s="39">
        <v>2021</v>
      </c>
      <c r="E83" s="72">
        <v>0.24789697599999999</v>
      </c>
      <c r="F83" s="72">
        <v>9.0775999999999996E-2</v>
      </c>
      <c r="G83" s="72">
        <v>0.23600639800000001</v>
      </c>
      <c r="H83" s="72">
        <v>0.23600604</v>
      </c>
      <c r="I83" s="72">
        <f>0.08219004+0.063+0.0907</f>
        <v>0.23589004000000002</v>
      </c>
      <c r="J83" s="94">
        <f>L83</f>
        <v>9.0700000000000003E-2</v>
      </c>
      <c r="K83" s="72">
        <f>0.08219004+0.063+0.0907</f>
        <v>0.23589004000000002</v>
      </c>
      <c r="L83" s="94">
        <v>9.0700000000000003E-2</v>
      </c>
      <c r="M83" s="94">
        <f t="shared" si="11"/>
        <v>1.1599999999997723E-4</v>
      </c>
      <c r="N83" s="72">
        <v>0</v>
      </c>
    </row>
    <row r="84" spans="1:15" s="31" customFormat="1" ht="12.75">
      <c r="A84" s="30"/>
      <c r="B84" s="74" t="s">
        <v>51</v>
      </c>
      <c r="C84" s="46">
        <v>1</v>
      </c>
      <c r="D84" s="39">
        <v>2021</v>
      </c>
      <c r="E84" s="96">
        <v>0.12979470400000001</v>
      </c>
      <c r="F84" s="96">
        <v>4.1300000000000003E-2</v>
      </c>
      <c r="G84" s="96">
        <v>0.123568364</v>
      </c>
      <c r="H84" s="96">
        <v>0.12356836</v>
      </c>
      <c r="I84" s="96">
        <v>0.12356836</v>
      </c>
      <c r="J84" s="96">
        <v>4.1300000000000003E-2</v>
      </c>
      <c r="K84" s="96">
        <v>0.12356836</v>
      </c>
      <c r="L84" s="96">
        <v>4.1300000000000003E-2</v>
      </c>
      <c r="M84" s="57">
        <f>+H84-I84</f>
        <v>0</v>
      </c>
      <c r="N84" s="43"/>
    </row>
    <row r="85" spans="1:15" s="31" customFormat="1" ht="12.75">
      <c r="A85" s="30"/>
      <c r="B85" s="74" t="s">
        <v>50</v>
      </c>
      <c r="C85" s="46">
        <v>1</v>
      </c>
      <c r="D85" s="39">
        <v>2021</v>
      </c>
      <c r="E85" s="96">
        <v>0.444360482</v>
      </c>
      <c r="F85" s="96">
        <v>0.15609999999999999</v>
      </c>
      <c r="G85" s="96">
        <v>0.42305205899999998</v>
      </c>
      <c r="H85" s="96">
        <v>0.42305160000000003</v>
      </c>
      <c r="I85" s="96">
        <v>0.42305160000000003</v>
      </c>
      <c r="J85" s="96">
        <v>0.15609999999999999</v>
      </c>
      <c r="K85" s="96">
        <v>0.42305160000000003</v>
      </c>
      <c r="L85" s="96">
        <v>0.15609999999999999</v>
      </c>
      <c r="M85" s="57">
        <f>+H85-I85</f>
        <v>0</v>
      </c>
      <c r="N85" s="43"/>
    </row>
    <row r="86" spans="1:15" s="31" customFormat="1" ht="12.75">
      <c r="A86" s="30"/>
      <c r="B86" s="74" t="s">
        <v>148</v>
      </c>
      <c r="C86" s="46">
        <v>1</v>
      </c>
      <c r="D86" s="39">
        <v>2021</v>
      </c>
      <c r="E86" s="96">
        <v>0.207764383</v>
      </c>
      <c r="F86" s="96">
        <v>8.8160000000000002E-2</v>
      </c>
      <c r="G86" s="96">
        <v>0.197821421</v>
      </c>
      <c r="H86" s="96">
        <v>0.19782058</v>
      </c>
      <c r="I86" s="96">
        <v>0.19782058</v>
      </c>
      <c r="J86" s="96">
        <v>8.8160000000000002E-2</v>
      </c>
      <c r="K86" s="96">
        <v>0.19782058</v>
      </c>
      <c r="L86" s="96">
        <v>8.8160000000000002E-2</v>
      </c>
      <c r="M86" s="57">
        <f>+H86-I86</f>
        <v>0</v>
      </c>
      <c r="N86" s="43"/>
    </row>
    <row r="87" spans="1:15" s="31" customFormat="1" ht="25.5">
      <c r="A87" s="30"/>
      <c r="B87" s="47" t="s">
        <v>184</v>
      </c>
      <c r="C87" s="46">
        <v>1</v>
      </c>
      <c r="D87" s="39" t="s">
        <v>222</v>
      </c>
      <c r="E87" s="97">
        <v>1.794557728</v>
      </c>
      <c r="F87" s="97">
        <f>1.794557728-0.2307944</f>
        <v>1.5637633280000001</v>
      </c>
      <c r="G87" s="97">
        <v>1.6863334000000001</v>
      </c>
      <c r="H87" s="97">
        <v>1.6863334000000001</v>
      </c>
      <c r="I87" s="97">
        <v>1.6863334000000001</v>
      </c>
      <c r="J87" s="97">
        <f>+I87-0.2307944</f>
        <v>1.4555390000000001</v>
      </c>
      <c r="K87" s="97">
        <f>1.6863334-0.0214604</f>
        <v>1.664873</v>
      </c>
      <c r="L87" s="97">
        <f>1.6863334-0.2307944</f>
        <v>1.4555390000000001</v>
      </c>
      <c r="M87" s="97">
        <f>+H87-K87</f>
        <v>2.1460400000000046E-2</v>
      </c>
      <c r="N87" s="91"/>
    </row>
    <row r="88" spans="1:15" s="31" customFormat="1" ht="32.25" customHeight="1">
      <c r="A88" s="30" t="s">
        <v>231</v>
      </c>
      <c r="B88" s="87" t="s">
        <v>134</v>
      </c>
      <c r="C88" s="30">
        <v>1</v>
      </c>
      <c r="D88" s="30">
        <v>2021</v>
      </c>
      <c r="E88" s="61">
        <v>0.14780886200000001</v>
      </c>
      <c r="F88" s="61">
        <v>1.8800000000000001E-2</v>
      </c>
      <c r="G88" s="61">
        <v>0.140735205</v>
      </c>
      <c r="H88" s="61">
        <v>0.14073485999999999</v>
      </c>
      <c r="I88" s="61">
        <v>0.14071486</v>
      </c>
      <c r="J88" s="61">
        <v>1.8800000000000001E-2</v>
      </c>
      <c r="K88" s="61">
        <v>0.14071486</v>
      </c>
      <c r="L88" s="61">
        <v>1.8800000000000001E-2</v>
      </c>
      <c r="M88" s="30"/>
      <c r="N88" s="30"/>
      <c r="O88" s="31" t="s">
        <v>149</v>
      </c>
    </row>
    <row r="89" spans="1:15" s="31" customFormat="1" ht="26.25" customHeight="1">
      <c r="A89" s="30" t="s">
        <v>231</v>
      </c>
      <c r="B89" s="87" t="s">
        <v>43</v>
      </c>
      <c r="C89" s="30">
        <v>1</v>
      </c>
      <c r="D89" s="30">
        <v>2021</v>
      </c>
      <c r="E89" s="61">
        <v>0.47533027700000002</v>
      </c>
      <c r="F89" s="61">
        <v>4.2999999999999997E-2</v>
      </c>
      <c r="G89" s="61">
        <v>0.452533032</v>
      </c>
      <c r="H89" s="61">
        <v>0.45253252999999999</v>
      </c>
      <c r="I89" s="61">
        <v>0.45244453000000001</v>
      </c>
      <c r="J89" s="61">
        <v>4.2999999999999997E-2</v>
      </c>
      <c r="K89" s="61">
        <v>0.45244453000000001</v>
      </c>
      <c r="L89" s="61">
        <v>4.2999999999999997E-2</v>
      </c>
      <c r="M89" s="30"/>
      <c r="N89" s="30"/>
    </row>
    <row r="90" spans="1:15" s="31" customFormat="1" ht="26.25" customHeight="1">
      <c r="A90" s="30" t="s">
        <v>231</v>
      </c>
      <c r="B90" s="87" t="s">
        <v>135</v>
      </c>
      <c r="C90" s="30">
        <v>1</v>
      </c>
      <c r="D90" s="30">
        <v>2021</v>
      </c>
      <c r="E90" s="61">
        <v>9.9808830000000001E-2</v>
      </c>
      <c r="F90" s="61">
        <v>9.4000000000000004E-3</v>
      </c>
      <c r="G90" s="61">
        <v>9.5024528999999996E-2</v>
      </c>
      <c r="H90" s="61">
        <v>9.5024499999999998E-2</v>
      </c>
      <c r="I90" s="61">
        <v>9.4936499999999993E-2</v>
      </c>
      <c r="J90" s="61">
        <v>9.4000000000000004E-3</v>
      </c>
      <c r="K90" s="61">
        <v>9.4936499999999993E-2</v>
      </c>
      <c r="L90" s="61">
        <v>9.4000000000000004E-3</v>
      </c>
      <c r="M90" s="30"/>
      <c r="N90" s="30"/>
    </row>
    <row r="91" spans="1:15" s="31" customFormat="1" ht="12.75">
      <c r="A91" s="30"/>
      <c r="B91" s="74" t="s">
        <v>128</v>
      </c>
      <c r="C91" s="46">
        <v>1</v>
      </c>
      <c r="D91" s="39">
        <v>2021</v>
      </c>
      <c r="E91" s="98">
        <v>9.8989145000000001E-2</v>
      </c>
      <c r="F91" s="98">
        <v>4.2000000000000003E-2</v>
      </c>
      <c r="G91" s="98">
        <v>9.4275375999999994E-2</v>
      </c>
      <c r="H91" s="98">
        <v>9.4251479999999999E-2</v>
      </c>
      <c r="I91" s="98">
        <f>0.02248848+0.042</f>
        <v>6.4488480000000001E-2</v>
      </c>
      <c r="J91" s="99">
        <v>4.2000000000000003E-2</v>
      </c>
      <c r="K91" s="98">
        <f>I91</f>
        <v>6.4488480000000001E-2</v>
      </c>
      <c r="L91" s="99">
        <f>J91</f>
        <v>4.2000000000000003E-2</v>
      </c>
      <c r="M91" s="100">
        <f>+H91-I91</f>
        <v>2.9762999999999998E-2</v>
      </c>
      <c r="N91" s="57"/>
    </row>
    <row r="92" spans="1:15" s="31" customFormat="1" ht="12.75">
      <c r="A92" s="30"/>
      <c r="B92" s="89" t="s">
        <v>158</v>
      </c>
      <c r="C92" s="46">
        <v>1</v>
      </c>
      <c r="D92" s="39" t="s">
        <v>159</v>
      </c>
      <c r="E92" s="98">
        <v>1.149775435</v>
      </c>
      <c r="F92" s="98">
        <v>0.96</v>
      </c>
      <c r="G92" s="98">
        <v>1.1054511229999999</v>
      </c>
      <c r="H92" s="98">
        <v>1.105449328</v>
      </c>
      <c r="I92" s="98">
        <v>1.091875328</v>
      </c>
      <c r="J92" s="99">
        <v>0.96</v>
      </c>
      <c r="K92" s="98">
        <v>1.091875328</v>
      </c>
      <c r="L92" s="99">
        <v>0.96</v>
      </c>
      <c r="M92" s="100">
        <f t="shared" ref="M92:M96" si="12">+H92-I92</f>
        <v>1.3573999999999975E-2</v>
      </c>
      <c r="N92" s="91"/>
    </row>
    <row r="93" spans="1:15" s="31" customFormat="1" ht="12.75">
      <c r="A93" s="30"/>
      <c r="B93" s="87" t="s">
        <v>129</v>
      </c>
      <c r="C93" s="46">
        <v>1</v>
      </c>
      <c r="D93" s="39">
        <v>2021</v>
      </c>
      <c r="E93" s="61">
        <v>0.28007834599999998</v>
      </c>
      <c r="F93" s="61">
        <v>0.101892</v>
      </c>
      <c r="G93" s="61">
        <v>0.26664377</v>
      </c>
      <c r="H93" s="61">
        <v>0.26664377</v>
      </c>
      <c r="I93" s="61">
        <v>0.26655177000000002</v>
      </c>
      <c r="J93" s="61">
        <v>0.1018</v>
      </c>
      <c r="K93" s="61">
        <f t="shared" ref="K93:L96" si="13">I93</f>
        <v>0.26655177000000002</v>
      </c>
      <c r="L93" s="61">
        <f t="shared" si="13"/>
        <v>0.1018</v>
      </c>
      <c r="M93" s="57">
        <f t="shared" si="12"/>
        <v>9.1999999999980986E-5</v>
      </c>
      <c r="N93" s="57"/>
    </row>
    <row r="94" spans="1:15" s="31" customFormat="1" ht="12.75">
      <c r="A94" s="30"/>
      <c r="B94" s="87" t="s">
        <v>130</v>
      </c>
      <c r="C94" s="46">
        <v>1</v>
      </c>
      <c r="D94" s="39">
        <v>2021</v>
      </c>
      <c r="E94" s="61">
        <v>0.102891075</v>
      </c>
      <c r="F94" s="61">
        <v>0.37631999999999999</v>
      </c>
      <c r="G94" s="61">
        <v>9.7955713E-2</v>
      </c>
      <c r="H94" s="61">
        <v>9.7955230000000004E-2</v>
      </c>
      <c r="I94" s="61">
        <v>9.792323E-2</v>
      </c>
      <c r="J94" s="61">
        <v>3.7600000000000001E-2</v>
      </c>
      <c r="K94" s="61">
        <f>I94</f>
        <v>9.792323E-2</v>
      </c>
      <c r="L94" s="61">
        <f>J94</f>
        <v>3.7600000000000001E-2</v>
      </c>
      <c r="M94" s="57">
        <f t="shared" si="12"/>
        <v>3.2000000000004247E-5</v>
      </c>
      <c r="N94" s="57"/>
    </row>
    <row r="95" spans="1:15" s="31" customFormat="1" ht="12.75">
      <c r="A95" s="30"/>
      <c r="B95" s="87" t="s">
        <v>131</v>
      </c>
      <c r="C95" s="46">
        <v>1</v>
      </c>
      <c r="D95" s="39">
        <v>2021</v>
      </c>
      <c r="E95" s="61">
        <v>8.7133019000000006E-2</v>
      </c>
      <c r="F95" s="61">
        <v>3.696E-2</v>
      </c>
      <c r="G95" s="61">
        <v>8.2963107999999994E-2</v>
      </c>
      <c r="H95" s="61">
        <v>8.2962279999999999E-2</v>
      </c>
      <c r="I95" s="61">
        <v>8.2902279999999995E-2</v>
      </c>
      <c r="J95" s="61">
        <v>3.6900000000000002E-2</v>
      </c>
      <c r="K95" s="61">
        <f>I95</f>
        <v>8.2902279999999995E-2</v>
      </c>
      <c r="L95" s="61">
        <f>J95</f>
        <v>3.6900000000000002E-2</v>
      </c>
      <c r="M95" s="57">
        <f t="shared" si="12"/>
        <v>6.0000000000004494E-5</v>
      </c>
      <c r="N95" s="57"/>
    </row>
    <row r="96" spans="1:15" s="31" customFormat="1" ht="12.75">
      <c r="A96" s="30"/>
      <c r="B96" s="87" t="s">
        <v>132</v>
      </c>
      <c r="C96" s="46">
        <v>1</v>
      </c>
      <c r="D96" s="39">
        <v>2021</v>
      </c>
      <c r="E96" s="61">
        <v>5.7575215999999999E-2</v>
      </c>
      <c r="F96" s="61">
        <v>2.0944000000000001E-2</v>
      </c>
      <c r="G96" s="61">
        <v>5.4813379000000002E-2</v>
      </c>
      <c r="H96" s="61">
        <v>5.4812840000000002E-2</v>
      </c>
      <c r="I96" s="61">
        <v>5.4768839999999999E-2</v>
      </c>
      <c r="J96" s="61">
        <v>2.0899999999999998E-2</v>
      </c>
      <c r="K96" s="61">
        <f t="shared" si="13"/>
        <v>5.4768839999999999E-2</v>
      </c>
      <c r="L96" s="61">
        <f t="shared" si="13"/>
        <v>2.0899999999999998E-2</v>
      </c>
      <c r="M96" s="57">
        <f t="shared" si="12"/>
        <v>4.4000000000002371E-5</v>
      </c>
      <c r="N96" s="57"/>
    </row>
    <row r="97" spans="1:14" s="31" customFormat="1" ht="12.75">
      <c r="A97" s="30"/>
      <c r="B97" s="87" t="s">
        <v>136</v>
      </c>
      <c r="C97" s="46">
        <v>1</v>
      </c>
      <c r="D97" s="39">
        <v>2021</v>
      </c>
      <c r="E97" s="61">
        <v>0.157901398</v>
      </c>
      <c r="F97" s="61">
        <v>5.7540000000000001E-2</v>
      </c>
      <c r="G97" s="61">
        <v>0.15032705399999999</v>
      </c>
      <c r="H97" s="61">
        <v>0.15032677</v>
      </c>
      <c r="I97" s="61">
        <v>0.15032677</v>
      </c>
      <c r="J97" s="61">
        <v>5.7540000000000001E-2</v>
      </c>
      <c r="K97" s="61">
        <v>0.15032677</v>
      </c>
      <c r="L97" s="61">
        <v>5.7540000000000001E-2</v>
      </c>
      <c r="M97" s="57">
        <f>+H97-I97</f>
        <v>0</v>
      </c>
      <c r="N97" s="61"/>
    </row>
    <row r="98" spans="1:14" s="31" customFormat="1" ht="12.75">
      <c r="A98" s="30"/>
      <c r="B98" s="87" t="s">
        <v>137</v>
      </c>
      <c r="C98" s="46">
        <v>1</v>
      </c>
      <c r="D98" s="39">
        <v>2021</v>
      </c>
      <c r="E98" s="61">
        <v>0.250227107</v>
      </c>
      <c r="F98" s="61">
        <v>9.2203999999999994E-2</v>
      </c>
      <c r="G98" s="61">
        <v>0.23822445</v>
      </c>
      <c r="H98" s="61">
        <v>0.23822392000000001</v>
      </c>
      <c r="I98" s="61">
        <v>0.23822392000000001</v>
      </c>
      <c r="J98" s="61">
        <v>9.2203999999999994E-2</v>
      </c>
      <c r="K98" s="61">
        <v>0.23822392000000001</v>
      </c>
      <c r="L98" s="61">
        <v>9.2203999999999994E-2</v>
      </c>
      <c r="M98" s="57">
        <f>+H98-I98</f>
        <v>0</v>
      </c>
      <c r="N98" s="61"/>
    </row>
    <row r="99" spans="1:14" s="31" customFormat="1" ht="12.75">
      <c r="A99" s="30"/>
      <c r="B99" s="87" t="s">
        <v>138</v>
      </c>
      <c r="C99" s="46">
        <v>1</v>
      </c>
      <c r="D99" s="39">
        <v>2021</v>
      </c>
      <c r="E99" s="61">
        <v>0.296173134</v>
      </c>
      <c r="F99" s="61">
        <v>0.92988000000000004</v>
      </c>
      <c r="G99" s="61">
        <v>0.28196948100000002</v>
      </c>
      <c r="H99" s="61">
        <v>0.28196483</v>
      </c>
      <c r="I99" s="61">
        <v>0.28196483</v>
      </c>
      <c r="J99" s="61">
        <v>0.92988000000000004</v>
      </c>
      <c r="K99" s="61">
        <v>0.28196483</v>
      </c>
      <c r="L99" s="61">
        <v>0.92988000000000004</v>
      </c>
      <c r="M99" s="57">
        <f>+H99-I99</f>
        <v>0</v>
      </c>
      <c r="N99" s="61"/>
    </row>
    <row r="100" spans="1:14" s="31" customFormat="1" ht="12.75">
      <c r="A100" s="30"/>
      <c r="B100" s="87" t="s">
        <v>139</v>
      </c>
      <c r="C100" s="46">
        <v>1</v>
      </c>
      <c r="D100" s="39">
        <v>2021</v>
      </c>
      <c r="E100" s="61">
        <v>0.49575804499999998</v>
      </c>
      <c r="F100" s="61">
        <v>0.18835879999999999</v>
      </c>
      <c r="G100" s="61">
        <v>0.47197747899999998</v>
      </c>
      <c r="H100" s="61">
        <v>0.47197676</v>
      </c>
      <c r="I100" s="61">
        <v>0.47197676</v>
      </c>
      <c r="J100" s="61">
        <v>0.18835879999999999</v>
      </c>
      <c r="K100" s="61">
        <v>0.47197676</v>
      </c>
      <c r="L100" s="61">
        <v>0.18835879999999999</v>
      </c>
      <c r="M100" s="57">
        <f>+H100-K100</f>
        <v>0</v>
      </c>
      <c r="N100" s="61">
        <v>0</v>
      </c>
    </row>
    <row r="101" spans="1:14" s="31" customFormat="1" ht="12.75">
      <c r="A101" s="30"/>
      <c r="B101" s="87" t="s">
        <v>140</v>
      </c>
      <c r="C101" s="46">
        <v>1</v>
      </c>
      <c r="D101" s="39">
        <v>2021</v>
      </c>
      <c r="E101" s="61">
        <v>0.115052389</v>
      </c>
      <c r="F101" s="61">
        <v>1.7600000000000001E-2</v>
      </c>
      <c r="G101" s="61">
        <v>0.10953352399999999</v>
      </c>
      <c r="H101" s="61">
        <v>0.10953282</v>
      </c>
      <c r="I101" s="61">
        <f>0.09188882+0.0176</f>
        <v>0.10948882</v>
      </c>
      <c r="J101" s="101">
        <f>F101</f>
        <v>1.7600000000000001E-2</v>
      </c>
      <c r="K101" s="61">
        <f>I101</f>
        <v>0.10948882</v>
      </c>
      <c r="L101" s="101">
        <f>J101</f>
        <v>1.7600000000000001E-2</v>
      </c>
      <c r="M101" s="102">
        <f t="shared" ref="M101:M130" si="14">+H101-I101</f>
        <v>4.4000000000002371E-5</v>
      </c>
      <c r="N101" s="61"/>
    </row>
    <row r="102" spans="1:14" s="31" customFormat="1" ht="12.75">
      <c r="A102" s="30"/>
      <c r="B102" s="87" t="s">
        <v>141</v>
      </c>
      <c r="C102" s="46">
        <v>1</v>
      </c>
      <c r="D102" s="39">
        <v>2021</v>
      </c>
      <c r="E102" s="61">
        <v>0.163433937</v>
      </c>
      <c r="F102" s="61">
        <v>1.9E-2</v>
      </c>
      <c r="G102" s="61">
        <v>0.155600129</v>
      </c>
      <c r="H102" s="61">
        <v>0.15559976</v>
      </c>
      <c r="I102" s="61">
        <f>0.07899276+0.019</f>
        <v>9.7992759999999998E-2</v>
      </c>
      <c r="J102" s="101">
        <f t="shared" ref="J102:J104" si="15">F102</f>
        <v>1.9E-2</v>
      </c>
      <c r="K102" s="61">
        <f t="shared" ref="K102:L104" si="16">I102</f>
        <v>9.7992759999999998E-2</v>
      </c>
      <c r="L102" s="101">
        <f t="shared" si="16"/>
        <v>1.9E-2</v>
      </c>
      <c r="M102" s="102">
        <f t="shared" si="14"/>
        <v>5.7607000000000005E-2</v>
      </c>
      <c r="N102" s="61"/>
    </row>
    <row r="103" spans="1:14" s="31" customFormat="1" ht="12.75">
      <c r="A103" s="30"/>
      <c r="B103" s="89" t="s">
        <v>165</v>
      </c>
      <c r="C103" s="46">
        <v>1</v>
      </c>
      <c r="D103" s="39">
        <v>2021</v>
      </c>
      <c r="E103" s="61">
        <v>0.425494439</v>
      </c>
      <c r="F103" s="61">
        <v>6.13E-2</v>
      </c>
      <c r="G103" s="61">
        <v>0.40508502899999999</v>
      </c>
      <c r="H103" s="61">
        <v>0.40508422999999999</v>
      </c>
      <c r="I103" s="61">
        <f>0.34373223+0.0613</f>
        <v>0.40503223000000005</v>
      </c>
      <c r="J103" s="103">
        <f t="shared" si="15"/>
        <v>6.13E-2</v>
      </c>
      <c r="K103" s="61">
        <f t="shared" si="16"/>
        <v>0.40503223000000005</v>
      </c>
      <c r="L103" s="103">
        <f t="shared" si="16"/>
        <v>6.13E-2</v>
      </c>
      <c r="M103" s="104">
        <f t="shared" si="14"/>
        <v>5.1999999999940982E-5</v>
      </c>
      <c r="N103" s="61"/>
    </row>
    <row r="104" spans="1:14" s="31" customFormat="1" ht="12.75">
      <c r="A104" s="30"/>
      <c r="B104" s="38" t="s">
        <v>166</v>
      </c>
      <c r="C104" s="46">
        <v>1</v>
      </c>
      <c r="D104" s="39">
        <v>2021</v>
      </c>
      <c r="E104" s="61">
        <v>0.58427939299999998</v>
      </c>
      <c r="F104" s="61">
        <v>8.4900000000000003E-2</v>
      </c>
      <c r="G104" s="61">
        <v>0.55625398500000001</v>
      </c>
      <c r="H104" s="61">
        <v>0.55625342</v>
      </c>
      <c r="I104" s="61">
        <f>0.47129742+0.0849</f>
        <v>0.55619742000000005</v>
      </c>
      <c r="J104" s="103">
        <f t="shared" si="15"/>
        <v>8.4900000000000003E-2</v>
      </c>
      <c r="K104" s="61">
        <f t="shared" si="16"/>
        <v>0.55619742000000005</v>
      </c>
      <c r="L104" s="103">
        <f t="shared" si="16"/>
        <v>8.4900000000000003E-2</v>
      </c>
      <c r="M104" s="104">
        <f t="shared" si="14"/>
        <v>5.5999999999944983E-5</v>
      </c>
      <c r="N104" s="61"/>
    </row>
    <row r="105" spans="1:14" s="31" customFormat="1" ht="12.75">
      <c r="A105" s="30"/>
      <c r="B105" s="87" t="s">
        <v>140</v>
      </c>
      <c r="C105" s="46">
        <v>1</v>
      </c>
      <c r="D105" s="39">
        <v>2021</v>
      </c>
      <c r="E105" s="61">
        <v>0.115052389</v>
      </c>
      <c r="F105" s="61">
        <v>4.2644000000000001E-2</v>
      </c>
      <c r="G105" s="61">
        <v>0.10953352399999999</v>
      </c>
      <c r="H105" s="61">
        <v>0.10953282</v>
      </c>
      <c r="I105" s="61">
        <v>6.8888820000000003E-2</v>
      </c>
      <c r="J105" s="36">
        <v>0</v>
      </c>
      <c r="K105" s="61">
        <v>6.8888820000000003E-2</v>
      </c>
      <c r="L105" s="36">
        <v>0</v>
      </c>
      <c r="M105" s="57">
        <f t="shared" si="14"/>
        <v>4.0644E-2</v>
      </c>
      <c r="N105" s="61">
        <v>4.2644000000000001E-2</v>
      </c>
    </row>
    <row r="106" spans="1:14" s="31" customFormat="1" ht="12.75">
      <c r="A106" s="30"/>
      <c r="B106" s="87" t="s">
        <v>141</v>
      </c>
      <c r="C106" s="46">
        <v>1</v>
      </c>
      <c r="D106" s="39">
        <v>2021</v>
      </c>
      <c r="E106" s="61">
        <v>0.163433937</v>
      </c>
      <c r="F106" s="61">
        <v>4.9000000000000002E-2</v>
      </c>
      <c r="G106" s="61">
        <v>0.155600129</v>
      </c>
      <c r="H106" s="61">
        <v>0.15559976</v>
      </c>
      <c r="I106" s="61">
        <v>4.8992760000000003E-2</v>
      </c>
      <c r="J106" s="36">
        <v>0</v>
      </c>
      <c r="K106" s="61">
        <v>4.8992760000000003E-2</v>
      </c>
      <c r="L106" s="36">
        <v>0</v>
      </c>
      <c r="M106" s="57">
        <f t="shared" si="14"/>
        <v>0.10660700000000001</v>
      </c>
      <c r="N106" s="61">
        <v>4.9000000000000002E-2</v>
      </c>
    </row>
    <row r="107" spans="1:14" s="31" customFormat="1" ht="12.75">
      <c r="A107" s="30"/>
      <c r="B107" s="89" t="s">
        <v>165</v>
      </c>
      <c r="C107" s="46">
        <v>1</v>
      </c>
      <c r="D107" s="39">
        <v>2021</v>
      </c>
      <c r="E107" s="61">
        <v>0.425494439</v>
      </c>
      <c r="F107" s="61">
        <v>0.15635199999999999</v>
      </c>
      <c r="G107" s="61">
        <v>0.40508502899999999</v>
      </c>
      <c r="H107" s="61">
        <v>0.40508422999999999</v>
      </c>
      <c r="I107" s="61">
        <v>0.24873223</v>
      </c>
      <c r="J107" s="36">
        <v>0</v>
      </c>
      <c r="K107" s="61">
        <v>0.24873223</v>
      </c>
      <c r="L107" s="36">
        <v>0</v>
      </c>
      <c r="M107" s="57">
        <f>+H107-I107</f>
        <v>0.15635199999999999</v>
      </c>
      <c r="N107" s="61">
        <v>0.15635199999999999</v>
      </c>
    </row>
    <row r="108" spans="1:14" s="31" customFormat="1" ht="12.75">
      <c r="A108" s="30"/>
      <c r="B108" s="38" t="s">
        <v>166</v>
      </c>
      <c r="C108" s="46">
        <v>1</v>
      </c>
      <c r="D108" s="39">
        <v>2021</v>
      </c>
      <c r="E108" s="61">
        <v>0.58427939299999998</v>
      </c>
      <c r="F108" s="61">
        <v>0.21495600000000001</v>
      </c>
      <c r="G108" s="61">
        <v>0.55625398500000001</v>
      </c>
      <c r="H108" s="61">
        <v>0.55625342</v>
      </c>
      <c r="I108" s="61">
        <v>0.34129742000000002</v>
      </c>
      <c r="J108" s="36">
        <v>0</v>
      </c>
      <c r="K108" s="61">
        <v>0.34129742000000002</v>
      </c>
      <c r="L108" s="36">
        <v>0</v>
      </c>
      <c r="M108" s="57">
        <f>+H108-I108</f>
        <v>0.21495599999999998</v>
      </c>
      <c r="N108" s="61">
        <v>0.21495600000000001</v>
      </c>
    </row>
    <row r="109" spans="1:14" s="31" customFormat="1" ht="12.75">
      <c r="A109" s="30"/>
      <c r="B109" s="87" t="s">
        <v>143</v>
      </c>
      <c r="C109" s="46">
        <v>1</v>
      </c>
      <c r="D109" s="39">
        <v>2021</v>
      </c>
      <c r="E109" s="61">
        <v>8.4854392000000001E-2</v>
      </c>
      <c r="F109" s="61">
        <v>3.5999999999999997E-2</v>
      </c>
      <c r="G109" s="61">
        <v>8.0793546999999993E-2</v>
      </c>
      <c r="H109" s="61">
        <v>8.0792840000000005E-2</v>
      </c>
      <c r="I109" s="105">
        <v>8.0275840000000001E-2</v>
      </c>
      <c r="J109" s="61">
        <v>3.5999999999999997E-2</v>
      </c>
      <c r="K109" s="105">
        <v>8.0275840000000001E-2</v>
      </c>
      <c r="L109" s="61">
        <v>3.5999999999999997E-2</v>
      </c>
      <c r="M109" s="57">
        <f>+H109-I109</f>
        <v>5.1700000000000357E-4</v>
      </c>
      <c r="N109" s="61"/>
    </row>
    <row r="110" spans="1:14" s="31" customFormat="1" ht="12.75">
      <c r="A110" s="30"/>
      <c r="B110" s="87" t="s">
        <v>144</v>
      </c>
      <c r="C110" s="46">
        <v>1</v>
      </c>
      <c r="D110" s="39">
        <v>2021</v>
      </c>
      <c r="E110" s="61">
        <v>7.1513416999999996E-2</v>
      </c>
      <c r="F110" s="61">
        <v>3.032E-2</v>
      </c>
      <c r="G110" s="61">
        <v>6.8091005999999996E-2</v>
      </c>
      <c r="H110" s="61">
        <v>6.8090990000000004E-2</v>
      </c>
      <c r="I110" s="105">
        <v>6.7536990000000005E-2</v>
      </c>
      <c r="J110" s="61">
        <v>3.032E-2</v>
      </c>
      <c r="K110" s="105">
        <v>6.7536990000000005E-2</v>
      </c>
      <c r="L110" s="61">
        <v>3.032E-2</v>
      </c>
      <c r="M110" s="57">
        <f t="shared" si="14"/>
        <v>5.5399999999999894E-4</v>
      </c>
      <c r="N110" s="61"/>
    </row>
    <row r="111" spans="1:14" s="31" customFormat="1" ht="12.75">
      <c r="A111" s="30"/>
      <c r="B111" s="87" t="s">
        <v>145</v>
      </c>
      <c r="C111" s="46">
        <v>1</v>
      </c>
      <c r="D111" s="39">
        <v>2021</v>
      </c>
      <c r="E111" s="61">
        <v>5.7725656E-2</v>
      </c>
      <c r="F111" s="61">
        <v>2.4479999999999998E-2</v>
      </c>
      <c r="G111" s="61">
        <v>5.4963094999999997E-2</v>
      </c>
      <c r="H111" s="61">
        <v>5.4962280000000002E-2</v>
      </c>
      <c r="I111" s="105">
        <v>5.4518280000000002E-2</v>
      </c>
      <c r="J111" s="61">
        <v>2.4479999999999998E-2</v>
      </c>
      <c r="K111" s="105">
        <v>5.4518280000000002E-2</v>
      </c>
      <c r="L111" s="61">
        <v>2.4479999999999998E-2</v>
      </c>
      <c r="M111" s="57">
        <f t="shared" si="14"/>
        <v>4.4399999999999995E-4</v>
      </c>
      <c r="N111" s="61"/>
    </row>
    <row r="112" spans="1:14" s="31" customFormat="1" ht="12.75">
      <c r="A112" s="30"/>
      <c r="B112" s="87" t="s">
        <v>146</v>
      </c>
      <c r="C112" s="46">
        <v>1</v>
      </c>
      <c r="D112" s="39">
        <v>2021</v>
      </c>
      <c r="E112" s="61">
        <v>0.19624477500000001</v>
      </c>
      <c r="F112" s="61">
        <v>7.2239999999999999E-2</v>
      </c>
      <c r="G112" s="61">
        <v>0.18683118600000001</v>
      </c>
      <c r="H112" s="61">
        <v>0.18683040000000001</v>
      </c>
      <c r="I112" s="105">
        <v>0.1857914</v>
      </c>
      <c r="J112" s="61">
        <v>7.2239999999999999E-2</v>
      </c>
      <c r="K112" s="105">
        <v>0.1857914</v>
      </c>
      <c r="L112" s="61">
        <v>7.2239999999999999E-2</v>
      </c>
      <c r="M112" s="57">
        <f t="shared" si="14"/>
        <v>1.0390000000000121E-3</v>
      </c>
      <c r="N112" s="61"/>
    </row>
    <row r="113" spans="1:14" s="31" customFormat="1" ht="12.75">
      <c r="A113" s="30"/>
      <c r="B113" s="87" t="s">
        <v>147</v>
      </c>
      <c r="C113" s="46">
        <v>1</v>
      </c>
      <c r="D113" s="39">
        <v>2021</v>
      </c>
      <c r="E113" s="61">
        <v>6.1151113E-2</v>
      </c>
      <c r="F113" s="61">
        <v>2.5919999999999999E-2</v>
      </c>
      <c r="G113" s="61">
        <v>5.8224594999999997E-2</v>
      </c>
      <c r="H113" s="61">
        <v>5.8224440000000002E-2</v>
      </c>
      <c r="I113" s="105">
        <v>5.7821440000000002E-2</v>
      </c>
      <c r="J113" s="61">
        <v>2.5919999999999999E-2</v>
      </c>
      <c r="K113" s="105">
        <v>5.7821440000000002E-2</v>
      </c>
      <c r="L113" s="61">
        <v>2.5919999999999999E-2</v>
      </c>
      <c r="M113" s="57">
        <f t="shared" si="14"/>
        <v>4.0300000000000058E-4</v>
      </c>
      <c r="N113" s="61"/>
    </row>
    <row r="114" spans="1:14" s="31" customFormat="1" ht="12.75">
      <c r="A114" s="30"/>
      <c r="B114" s="89" t="s">
        <v>150</v>
      </c>
      <c r="C114" s="46">
        <v>1</v>
      </c>
      <c r="D114" s="39" t="s">
        <v>106</v>
      </c>
      <c r="E114" s="43">
        <v>1.1064962330000001</v>
      </c>
      <c r="F114" s="43">
        <v>0.38020500000000002</v>
      </c>
      <c r="G114" s="43">
        <v>1.0534186000000001</v>
      </c>
      <c r="H114" s="43">
        <v>1.0534186000000001</v>
      </c>
      <c r="I114" s="43">
        <v>1.0533535999999999</v>
      </c>
      <c r="J114" s="36">
        <v>0.38019999999999998</v>
      </c>
      <c r="K114" s="43">
        <v>1.0533535999999999</v>
      </c>
      <c r="L114" s="36">
        <v>0.38019999999999998</v>
      </c>
      <c r="M114" s="57">
        <f t="shared" si="14"/>
        <v>6.5000000000203784E-5</v>
      </c>
      <c r="N114" s="43"/>
    </row>
    <row r="115" spans="1:14" s="31" customFormat="1" ht="12.75">
      <c r="A115" s="30"/>
      <c r="B115" s="89" t="s">
        <v>44</v>
      </c>
      <c r="C115" s="46">
        <v>1</v>
      </c>
      <c r="D115" s="39">
        <v>2021</v>
      </c>
      <c r="E115" s="61">
        <v>0.12612506200000001</v>
      </c>
      <c r="F115" s="61">
        <v>4.5584E-2</v>
      </c>
      <c r="G115" s="61">
        <v>0.12003309</v>
      </c>
      <c r="H115" s="61">
        <v>0.12003309</v>
      </c>
      <c r="I115" s="61">
        <v>0.12003309</v>
      </c>
      <c r="J115" s="61">
        <v>4.5584E-2</v>
      </c>
      <c r="K115" s="61">
        <v>0.12003309</v>
      </c>
      <c r="L115" s="61">
        <v>4.5584E-2</v>
      </c>
      <c r="M115" s="57">
        <f t="shared" si="14"/>
        <v>0</v>
      </c>
      <c r="N115" s="61"/>
    </row>
    <row r="116" spans="1:14" s="31" customFormat="1" ht="25.5">
      <c r="A116" s="30"/>
      <c r="B116" s="89" t="s">
        <v>151</v>
      </c>
      <c r="C116" s="46">
        <v>1</v>
      </c>
      <c r="D116" s="39">
        <v>2021</v>
      </c>
      <c r="E116" s="61">
        <v>9.0729798E-2</v>
      </c>
      <c r="F116" s="61">
        <v>3.7280000000000001E-2</v>
      </c>
      <c r="G116" s="61">
        <v>8.6383379999999996E-2</v>
      </c>
      <c r="H116" s="61">
        <v>8.6383379999999996E-2</v>
      </c>
      <c r="I116" s="61">
        <v>8.6383379999999996E-2</v>
      </c>
      <c r="J116" s="61">
        <v>3.7280000000000001E-2</v>
      </c>
      <c r="K116" s="61">
        <v>8.6383379999999996E-2</v>
      </c>
      <c r="L116" s="61">
        <v>3.7280000000000001E-2</v>
      </c>
      <c r="M116" s="57">
        <f t="shared" si="14"/>
        <v>0</v>
      </c>
      <c r="N116" s="61"/>
    </row>
    <row r="117" spans="1:14" s="31" customFormat="1" ht="12.75">
      <c r="A117" s="30"/>
      <c r="B117" s="89" t="s">
        <v>45</v>
      </c>
      <c r="C117" s="46">
        <v>1</v>
      </c>
      <c r="D117" s="39">
        <v>2021</v>
      </c>
      <c r="E117" s="61">
        <v>0.19923177</v>
      </c>
      <c r="F117" s="61">
        <v>6.8739999999999996E-2</v>
      </c>
      <c r="G117" s="61">
        <v>0.18967861999999999</v>
      </c>
      <c r="H117" s="61">
        <v>0.18967861999999999</v>
      </c>
      <c r="I117" s="61">
        <v>0.18967861999999999</v>
      </c>
      <c r="J117" s="61">
        <v>6.8739999999999996E-2</v>
      </c>
      <c r="K117" s="61">
        <v>0.18967861999999999</v>
      </c>
      <c r="L117" s="61">
        <v>6.8739999999999996E-2</v>
      </c>
      <c r="M117" s="57">
        <f t="shared" si="14"/>
        <v>0</v>
      </c>
      <c r="N117" s="61"/>
    </row>
    <row r="118" spans="1:14" s="31" customFormat="1" ht="12.75">
      <c r="A118" s="30"/>
      <c r="B118" s="89" t="s">
        <v>152</v>
      </c>
      <c r="C118" s="46">
        <v>1</v>
      </c>
      <c r="D118" s="39">
        <v>2021</v>
      </c>
      <c r="E118" s="61">
        <v>0.25903373499999999</v>
      </c>
      <c r="F118" s="61">
        <v>9.5759999999999998E-2</v>
      </c>
      <c r="G118" s="61">
        <v>0.24660741999999999</v>
      </c>
      <c r="H118" s="61">
        <v>0.24660741999999999</v>
      </c>
      <c r="I118" s="61">
        <v>0.24660741999999999</v>
      </c>
      <c r="J118" s="61">
        <v>9.5759999999999998E-2</v>
      </c>
      <c r="K118" s="61">
        <v>0.24660741999999999</v>
      </c>
      <c r="L118" s="61">
        <v>9.5759999999999998E-2</v>
      </c>
      <c r="M118" s="57">
        <f t="shared" si="14"/>
        <v>0</v>
      </c>
      <c r="N118" s="61"/>
    </row>
    <row r="119" spans="1:14" s="31" customFormat="1" ht="12.75">
      <c r="A119" s="30"/>
      <c r="B119" s="89" t="s">
        <v>46</v>
      </c>
      <c r="C119" s="46">
        <v>1</v>
      </c>
      <c r="D119" s="39">
        <v>2021</v>
      </c>
      <c r="E119" s="106">
        <v>0.49179886099999998</v>
      </c>
      <c r="F119" s="106">
        <v>4.41E-2</v>
      </c>
      <c r="G119" s="106">
        <v>0.46821114000000003</v>
      </c>
      <c r="H119" s="106">
        <v>0.46821114000000003</v>
      </c>
      <c r="I119" s="106">
        <v>0.46813514000000001</v>
      </c>
      <c r="J119" s="84">
        <v>4.41E-2</v>
      </c>
      <c r="K119" s="85">
        <v>0.46813514000000001</v>
      </c>
      <c r="L119" s="84">
        <v>4.41E-2</v>
      </c>
      <c r="M119" s="57">
        <f t="shared" si="14"/>
        <v>7.6000000000020496E-5</v>
      </c>
      <c r="N119" s="61">
        <v>4.4176E-2</v>
      </c>
    </row>
    <row r="120" spans="1:14" s="31" customFormat="1" ht="12.75">
      <c r="A120" s="30"/>
      <c r="B120" s="89" t="s">
        <v>153</v>
      </c>
      <c r="C120" s="46">
        <v>1</v>
      </c>
      <c r="D120" s="39">
        <v>2021</v>
      </c>
      <c r="E120" s="106">
        <v>0.35132267</v>
      </c>
      <c r="F120" s="106">
        <v>3.2000000000000001E-2</v>
      </c>
      <c r="G120" s="106">
        <v>0.34447365000000002</v>
      </c>
      <c r="H120" s="106">
        <v>0.33447365000000001</v>
      </c>
      <c r="I120" s="106">
        <v>0.33446165</v>
      </c>
      <c r="J120" s="106">
        <v>3.1699999999999999E-2</v>
      </c>
      <c r="K120" s="85">
        <v>0.33446165</v>
      </c>
      <c r="L120" s="106">
        <v>3.1699999999999999E-2</v>
      </c>
      <c r="M120" s="57">
        <f t="shared" si="14"/>
        <v>1.2000000000012001E-5</v>
      </c>
      <c r="N120" s="61">
        <v>3.1711999999999997E-2</v>
      </c>
    </row>
    <row r="121" spans="1:14" s="31" customFormat="1" ht="12.75">
      <c r="A121" s="30"/>
      <c r="B121" s="89" t="s">
        <v>155</v>
      </c>
      <c r="C121" s="46">
        <v>1</v>
      </c>
      <c r="D121" s="39">
        <v>2021</v>
      </c>
      <c r="E121" s="61">
        <v>0.377167692</v>
      </c>
      <c r="F121" s="75">
        <v>3.5000000000000003E-2</v>
      </c>
      <c r="G121" s="61">
        <v>0.359075586</v>
      </c>
      <c r="H121" s="61">
        <v>0.35907556000000002</v>
      </c>
      <c r="I121" s="61">
        <v>0.35907556000000002</v>
      </c>
      <c r="J121" s="75">
        <v>3.5000000000000003E-2</v>
      </c>
      <c r="K121" s="61">
        <v>0.35907556000000002</v>
      </c>
      <c r="L121" s="75">
        <v>3.5000000000000003E-2</v>
      </c>
      <c r="M121" s="57">
        <f t="shared" si="14"/>
        <v>0</v>
      </c>
      <c r="N121" s="61"/>
    </row>
    <row r="122" spans="1:14" s="31" customFormat="1" ht="12.75">
      <c r="A122" s="30"/>
      <c r="B122" s="89" t="s">
        <v>156</v>
      </c>
      <c r="C122" s="46">
        <v>1</v>
      </c>
      <c r="D122" s="39">
        <v>2021</v>
      </c>
      <c r="E122" s="61">
        <v>0.24828413099999999</v>
      </c>
      <c r="F122" s="75">
        <v>3.5999999999999997E-2</v>
      </c>
      <c r="G122" s="61">
        <v>0.23637364699999999</v>
      </c>
      <c r="H122" s="61">
        <v>0.23637357000000001</v>
      </c>
      <c r="I122" s="61">
        <v>0.23637357000000001</v>
      </c>
      <c r="J122" s="75">
        <v>3.5999999999999997E-2</v>
      </c>
      <c r="K122" s="61">
        <v>0.23637357000000001</v>
      </c>
      <c r="L122" s="75">
        <v>3.5999999999999997E-2</v>
      </c>
      <c r="M122" s="57">
        <f t="shared" si="14"/>
        <v>0</v>
      </c>
      <c r="N122" s="91"/>
    </row>
    <row r="123" spans="1:14" s="31" customFormat="1" ht="14.25" customHeight="1">
      <c r="A123" s="30"/>
      <c r="B123" s="89" t="s">
        <v>157</v>
      </c>
      <c r="C123" s="46">
        <v>1</v>
      </c>
      <c r="D123" s="39">
        <v>2021</v>
      </c>
      <c r="E123" s="61">
        <v>0.395793336</v>
      </c>
      <c r="F123" s="76">
        <v>1.89E-2</v>
      </c>
      <c r="G123" s="61">
        <v>0.376807644</v>
      </c>
      <c r="H123" s="61">
        <v>0.37680761000000002</v>
      </c>
      <c r="I123" s="61">
        <v>0.37680761000000002</v>
      </c>
      <c r="J123" s="76">
        <v>1.89E-2</v>
      </c>
      <c r="K123" s="61">
        <v>0.37680761000000002</v>
      </c>
      <c r="L123" s="76">
        <v>1.89E-2</v>
      </c>
      <c r="M123" s="57">
        <f t="shared" si="14"/>
        <v>0</v>
      </c>
      <c r="N123" s="61"/>
    </row>
    <row r="124" spans="1:14" s="31" customFormat="1" ht="12.75">
      <c r="A124" s="30"/>
      <c r="B124" s="89" t="s">
        <v>160</v>
      </c>
      <c r="C124" s="46">
        <v>1</v>
      </c>
      <c r="D124" s="39">
        <v>2021</v>
      </c>
      <c r="E124" s="61">
        <v>0.64911201200000002</v>
      </c>
      <c r="F124" s="61">
        <v>0.23371600000000001</v>
      </c>
      <c r="G124" s="61">
        <v>0.61761699999999997</v>
      </c>
      <c r="H124" s="61">
        <v>0.61861699999999997</v>
      </c>
      <c r="I124" s="61">
        <v>0.61861699999999997</v>
      </c>
      <c r="J124" s="61">
        <v>0.23371600000000001</v>
      </c>
      <c r="K124" s="61">
        <v>0.61861699999999997</v>
      </c>
      <c r="L124" s="61">
        <v>0.23371600000000001</v>
      </c>
      <c r="M124" s="57">
        <f t="shared" si="14"/>
        <v>0</v>
      </c>
      <c r="N124" s="61"/>
    </row>
    <row r="125" spans="1:14" s="31" customFormat="1" ht="12.75">
      <c r="A125" s="30"/>
      <c r="B125" s="89" t="s">
        <v>161</v>
      </c>
      <c r="C125" s="46">
        <v>1</v>
      </c>
      <c r="D125" s="39">
        <v>2021</v>
      </c>
      <c r="E125" s="61">
        <v>0.37655385899999999</v>
      </c>
      <c r="F125" s="61">
        <v>0.1393952</v>
      </c>
      <c r="G125" s="61">
        <v>0.35849081999999999</v>
      </c>
      <c r="H125" s="61">
        <v>0.35849081999999999</v>
      </c>
      <c r="I125" s="61">
        <v>0.35849081999999999</v>
      </c>
      <c r="J125" s="61">
        <v>0.1393952</v>
      </c>
      <c r="K125" s="61">
        <v>0.35849081999999999</v>
      </c>
      <c r="L125" s="61">
        <v>0.1393952</v>
      </c>
      <c r="M125" s="57">
        <f t="shared" si="14"/>
        <v>0</v>
      </c>
      <c r="N125" s="91"/>
    </row>
    <row r="126" spans="1:14" s="31" customFormat="1" ht="12.75">
      <c r="A126" s="30"/>
      <c r="B126" s="89" t="s">
        <v>162</v>
      </c>
      <c r="C126" s="46">
        <v>1</v>
      </c>
      <c r="D126" s="39">
        <v>2021</v>
      </c>
      <c r="E126" s="61">
        <v>0.33624794699999999</v>
      </c>
      <c r="F126" s="61">
        <v>0.124852</v>
      </c>
      <c r="G126" s="61">
        <v>0.32585128000000002</v>
      </c>
      <c r="H126" s="61">
        <v>0.32585128000000002</v>
      </c>
      <c r="I126" s="61">
        <v>0.32585128000000002</v>
      </c>
      <c r="J126" s="61">
        <v>0.124852</v>
      </c>
      <c r="K126" s="61">
        <v>0.32585128000000002</v>
      </c>
      <c r="L126" s="61">
        <v>0.124852</v>
      </c>
      <c r="M126" s="57">
        <f t="shared" si="14"/>
        <v>0</v>
      </c>
      <c r="N126" s="91"/>
    </row>
    <row r="127" spans="1:14" s="31" customFormat="1" ht="12.75">
      <c r="A127" s="30"/>
      <c r="B127" s="89" t="s">
        <v>163</v>
      </c>
      <c r="C127" s="46">
        <v>1</v>
      </c>
      <c r="D127" s="39">
        <v>2021</v>
      </c>
      <c r="E127" s="61">
        <v>0.11038861899999999</v>
      </c>
      <c r="F127" s="61">
        <v>3.1752000000000002E-2</v>
      </c>
      <c r="G127" s="61">
        <v>0.10702496</v>
      </c>
      <c r="H127" s="61">
        <v>0.10702496</v>
      </c>
      <c r="I127" s="61">
        <v>0.10702496</v>
      </c>
      <c r="J127" s="61">
        <v>3.1752000000000002E-2</v>
      </c>
      <c r="K127" s="61">
        <v>0.10702496</v>
      </c>
      <c r="L127" s="61">
        <v>3.1752000000000002E-2</v>
      </c>
      <c r="M127" s="57">
        <f t="shared" si="14"/>
        <v>0</v>
      </c>
      <c r="N127" s="61"/>
    </row>
    <row r="128" spans="1:14" s="31" customFormat="1" ht="12.75">
      <c r="A128" s="30"/>
      <c r="B128" s="89" t="s">
        <v>164</v>
      </c>
      <c r="C128" s="46">
        <v>1</v>
      </c>
      <c r="D128" s="39">
        <v>2021</v>
      </c>
      <c r="E128" s="61">
        <v>0.52781619999999996</v>
      </c>
      <c r="F128" s="61">
        <v>0.191744</v>
      </c>
      <c r="G128" s="61">
        <v>0.50249860000000002</v>
      </c>
      <c r="H128" s="61">
        <v>0.50249860000000002</v>
      </c>
      <c r="I128" s="61">
        <v>0.50249860000000002</v>
      </c>
      <c r="J128" s="61">
        <v>0.191744</v>
      </c>
      <c r="K128" s="61">
        <v>0.50249860000000002</v>
      </c>
      <c r="L128" s="61">
        <v>0.191744</v>
      </c>
      <c r="M128" s="57">
        <f t="shared" si="14"/>
        <v>0</v>
      </c>
      <c r="N128" s="61"/>
    </row>
    <row r="129" spans="1:14" s="31" customFormat="1" ht="12.75">
      <c r="A129" s="30"/>
      <c r="B129" s="38" t="s">
        <v>167</v>
      </c>
      <c r="C129" s="46">
        <v>1</v>
      </c>
      <c r="D129" s="39">
        <v>2021</v>
      </c>
      <c r="E129" s="61">
        <v>0.32306712300000001</v>
      </c>
      <c r="F129" s="61">
        <v>0.13414931199999999</v>
      </c>
      <c r="G129" s="61">
        <v>0.307570974</v>
      </c>
      <c r="H129" s="61">
        <v>0.30757000000000001</v>
      </c>
      <c r="I129" s="61">
        <v>0.17342099999999999</v>
      </c>
      <c r="J129" s="36">
        <v>0</v>
      </c>
      <c r="K129" s="61">
        <v>0.17342099999999999</v>
      </c>
      <c r="L129" s="36">
        <v>0</v>
      </c>
      <c r="M129" s="57">
        <f t="shared" si="14"/>
        <v>0.13414900000000002</v>
      </c>
      <c r="N129" s="61">
        <v>0.13414931199999999</v>
      </c>
    </row>
    <row r="130" spans="1:14" s="31" customFormat="1" ht="12.75">
      <c r="A130" s="30"/>
      <c r="B130" s="38" t="s">
        <v>168</v>
      </c>
      <c r="C130" s="46">
        <v>1</v>
      </c>
      <c r="D130" s="39">
        <v>2021</v>
      </c>
      <c r="E130" s="61">
        <v>0.21764829899999999</v>
      </c>
      <c r="F130" s="61">
        <v>8.0584000000000003E-2</v>
      </c>
      <c r="G130" s="61">
        <v>0.207208214</v>
      </c>
      <c r="H130" s="61">
        <v>0.20720812</v>
      </c>
      <c r="I130" s="61">
        <v>0.12662412000000001</v>
      </c>
      <c r="J130" s="36">
        <v>0</v>
      </c>
      <c r="K130" s="61">
        <v>0.12662412000000001</v>
      </c>
      <c r="L130" s="36">
        <v>0</v>
      </c>
      <c r="M130" s="57">
        <f t="shared" si="14"/>
        <v>8.0583999999999989E-2</v>
      </c>
      <c r="N130" s="61">
        <v>8.0584000000000003E-2</v>
      </c>
    </row>
    <row r="131" spans="1:14" s="31" customFormat="1" ht="12.75">
      <c r="A131" s="30"/>
      <c r="B131" s="87" t="s">
        <v>173</v>
      </c>
      <c r="C131" s="46">
        <v>1</v>
      </c>
      <c r="D131" s="39">
        <v>2021</v>
      </c>
      <c r="E131" s="61">
        <v>0.14672055000000001</v>
      </c>
      <c r="F131" s="61">
        <v>5.3032000000000003E-2</v>
      </c>
      <c r="G131" s="61">
        <v>0.13968275699999999</v>
      </c>
      <c r="H131" s="61">
        <v>0.13968275699999999</v>
      </c>
      <c r="I131" s="61">
        <v>0.13968275699999999</v>
      </c>
      <c r="J131" s="61">
        <v>5.3032000000000003E-2</v>
      </c>
      <c r="K131" s="61">
        <v>0.13968275699999999</v>
      </c>
      <c r="L131" s="61">
        <v>5.3032000000000003E-2</v>
      </c>
      <c r="M131" s="57">
        <f t="shared" si="6"/>
        <v>0</v>
      </c>
      <c r="N131" s="61"/>
    </row>
    <row r="132" spans="1:14" s="31" customFormat="1" ht="12.75">
      <c r="A132" s="30"/>
      <c r="B132" s="87" t="s">
        <v>174</v>
      </c>
      <c r="C132" s="46">
        <v>1</v>
      </c>
      <c r="D132" s="39">
        <v>2021</v>
      </c>
      <c r="E132" s="61">
        <v>5.2961942999999997E-2</v>
      </c>
      <c r="F132" s="61">
        <v>1.9684E-2</v>
      </c>
      <c r="G132" s="61">
        <v>5.0421465999999998E-2</v>
      </c>
      <c r="H132" s="61">
        <v>5.0421465999999998E-2</v>
      </c>
      <c r="I132" s="61">
        <v>5.0421465999999998E-2</v>
      </c>
      <c r="J132" s="61">
        <v>1.9684E-2</v>
      </c>
      <c r="K132" s="61">
        <v>5.0421465999999998E-2</v>
      </c>
      <c r="L132" s="61">
        <v>1.9684E-2</v>
      </c>
      <c r="M132" s="57">
        <f t="shared" si="6"/>
        <v>0</v>
      </c>
      <c r="N132" s="61"/>
    </row>
    <row r="133" spans="1:14" s="31" customFormat="1" ht="12.75">
      <c r="A133" s="30"/>
      <c r="B133" s="87" t="s">
        <v>175</v>
      </c>
      <c r="C133" s="46">
        <v>1</v>
      </c>
      <c r="D133" s="39">
        <v>2021</v>
      </c>
      <c r="E133" s="61">
        <v>0.39084485600000002</v>
      </c>
      <c r="F133" s="61">
        <v>0.14405999999999999</v>
      </c>
      <c r="G133" s="61">
        <v>0.37209746599999999</v>
      </c>
      <c r="H133" s="61">
        <v>0.37209746599999999</v>
      </c>
      <c r="I133" s="61">
        <v>0.37209746599999999</v>
      </c>
      <c r="J133" s="61">
        <v>0.14405999999999999</v>
      </c>
      <c r="K133" s="61">
        <v>0.37209746599999999</v>
      </c>
      <c r="L133" s="61">
        <v>0.14405999999999999</v>
      </c>
      <c r="M133" s="57">
        <f t="shared" si="6"/>
        <v>0</v>
      </c>
      <c r="N133" s="61"/>
    </row>
    <row r="134" spans="1:14" s="31" customFormat="1" ht="12.75">
      <c r="A134" s="30"/>
      <c r="B134" s="87" t="s">
        <v>176</v>
      </c>
      <c r="C134" s="46">
        <v>1</v>
      </c>
      <c r="D134" s="39">
        <v>2021</v>
      </c>
      <c r="E134" s="61">
        <v>0.39075927300000002</v>
      </c>
      <c r="F134" s="61">
        <v>0.144508</v>
      </c>
      <c r="G134" s="61">
        <v>0.37201560900000002</v>
      </c>
      <c r="H134" s="61">
        <v>0.37201560900000002</v>
      </c>
      <c r="I134" s="61">
        <v>0.37201560900000002</v>
      </c>
      <c r="J134" s="61">
        <v>0.144508</v>
      </c>
      <c r="K134" s="61">
        <v>0.37201560900000002</v>
      </c>
      <c r="L134" s="61">
        <v>0.144508</v>
      </c>
      <c r="M134" s="57">
        <f t="shared" si="6"/>
        <v>0</v>
      </c>
      <c r="N134" s="61"/>
    </row>
    <row r="135" spans="1:14" s="31" customFormat="1" ht="12.75">
      <c r="A135" s="41" t="s">
        <v>8</v>
      </c>
      <c r="B135" s="40" t="s">
        <v>80</v>
      </c>
      <c r="C135" s="30"/>
      <c r="D135" s="30"/>
      <c r="E135" s="30"/>
      <c r="F135" s="30"/>
      <c r="G135" s="30"/>
      <c r="H135" s="30"/>
      <c r="I135" s="30"/>
      <c r="J135" s="30"/>
      <c r="K135" s="30"/>
      <c r="L135" s="30"/>
      <c r="M135" s="30"/>
      <c r="N135" s="30"/>
    </row>
    <row r="136" spans="1:14" s="31" customFormat="1" ht="12.75">
      <c r="A136" s="30">
        <v>1</v>
      </c>
      <c r="B136" s="34" t="s">
        <v>78</v>
      </c>
      <c r="C136" s="30"/>
      <c r="D136" s="30"/>
      <c r="E136" s="30"/>
      <c r="F136" s="30"/>
      <c r="G136" s="30"/>
      <c r="H136" s="30"/>
      <c r="I136" s="30"/>
      <c r="J136" s="30"/>
      <c r="K136" s="30"/>
      <c r="L136" s="30"/>
      <c r="M136" s="30"/>
      <c r="N136" s="30"/>
    </row>
    <row r="137" spans="1:14" s="31" customFormat="1" ht="12.75">
      <c r="A137" s="30">
        <v>2</v>
      </c>
      <c r="B137" s="34" t="s">
        <v>78</v>
      </c>
      <c r="C137" s="30"/>
      <c r="D137" s="30"/>
      <c r="E137" s="30"/>
      <c r="F137" s="30"/>
      <c r="G137" s="30"/>
      <c r="H137" s="30"/>
      <c r="I137" s="30"/>
      <c r="J137" s="30"/>
      <c r="K137" s="30"/>
      <c r="L137" s="30"/>
      <c r="M137" s="30"/>
      <c r="N137" s="30"/>
    </row>
    <row r="138" spans="1:14" s="31" customFormat="1" ht="12.75">
      <c r="A138" s="30">
        <v>3</v>
      </c>
      <c r="B138" s="34" t="s">
        <v>79</v>
      </c>
      <c r="C138" s="30"/>
      <c r="D138" s="30"/>
      <c r="E138" s="30"/>
      <c r="F138" s="30"/>
      <c r="G138" s="30"/>
      <c r="H138" s="30"/>
      <c r="I138" s="30"/>
      <c r="J138" s="30"/>
      <c r="K138" s="30"/>
      <c r="L138" s="30"/>
      <c r="M138" s="30"/>
      <c r="N138" s="30"/>
    </row>
    <row r="139" spans="1:14" s="73" customFormat="1" ht="12.75">
      <c r="A139" s="41" t="s">
        <v>9</v>
      </c>
      <c r="B139" s="40" t="s">
        <v>81</v>
      </c>
      <c r="C139" s="41">
        <f>+C140+C141+C142</f>
        <v>115</v>
      </c>
      <c r="D139" s="41"/>
      <c r="E139" s="32">
        <f>+E140+E141+E142</f>
        <v>42.019247703999994</v>
      </c>
      <c r="F139" s="32">
        <f t="shared" ref="F139:N139" si="17">+F140+F141+F142</f>
        <v>16.088591409999985</v>
      </c>
      <c r="G139" s="32">
        <f t="shared" si="17"/>
        <v>29.588181947950005</v>
      </c>
      <c r="H139" s="32">
        <f t="shared" si="17"/>
        <v>10.266248809000002</v>
      </c>
      <c r="I139" s="32">
        <f t="shared" si="17"/>
        <v>26.362954869999992</v>
      </c>
      <c r="J139" s="32">
        <f t="shared" si="17"/>
        <v>13.543509999999987</v>
      </c>
      <c r="K139" s="32">
        <f t="shared" si="17"/>
        <v>23.668113909999995</v>
      </c>
      <c r="L139" s="32">
        <f t="shared" si="17"/>
        <v>10.75439999999999</v>
      </c>
      <c r="M139" s="32">
        <f t="shared" si="17"/>
        <v>11.854956543000002</v>
      </c>
      <c r="N139" s="32">
        <f t="shared" si="17"/>
        <v>1.22811311</v>
      </c>
    </row>
    <row r="140" spans="1:14" s="31" customFormat="1" ht="12.75">
      <c r="A140" s="30">
        <v>1</v>
      </c>
      <c r="B140" s="34" t="s">
        <v>78</v>
      </c>
      <c r="C140" s="30"/>
      <c r="D140" s="30"/>
      <c r="E140" s="30"/>
      <c r="F140" s="30"/>
      <c r="G140" s="30"/>
      <c r="H140" s="30"/>
      <c r="I140" s="30"/>
      <c r="J140" s="30"/>
      <c r="K140" s="30"/>
      <c r="L140" s="30"/>
      <c r="M140" s="30"/>
      <c r="N140" s="30"/>
    </row>
    <row r="141" spans="1:14" s="31" customFormat="1" ht="12.75">
      <c r="A141" s="30">
        <v>2</v>
      </c>
      <c r="B141" s="34" t="s">
        <v>78</v>
      </c>
      <c r="C141" s="30"/>
      <c r="D141" s="30"/>
      <c r="E141" s="30"/>
      <c r="F141" s="30"/>
      <c r="G141" s="30"/>
      <c r="H141" s="30"/>
      <c r="I141" s="30"/>
      <c r="J141" s="30"/>
      <c r="K141" s="30"/>
      <c r="L141" s="30"/>
      <c r="M141" s="30"/>
      <c r="N141" s="30"/>
    </row>
    <row r="142" spans="1:14" s="31" customFormat="1" ht="12.75">
      <c r="A142" s="30">
        <v>3</v>
      </c>
      <c r="B142" s="34" t="s">
        <v>79</v>
      </c>
      <c r="C142" s="30">
        <f>+SUM(C143:C257)</f>
        <v>115</v>
      </c>
      <c r="D142" s="30"/>
      <c r="E142" s="43">
        <f t="shared" ref="E142:N142" si="18">+SUM(E143:E257)</f>
        <v>42.019247703999994</v>
      </c>
      <c r="F142" s="43">
        <f t="shared" si="18"/>
        <v>16.088591409999985</v>
      </c>
      <c r="G142" s="43">
        <f t="shared" si="18"/>
        <v>29.588181947950005</v>
      </c>
      <c r="H142" s="43">
        <f t="shared" si="18"/>
        <v>10.266248809000002</v>
      </c>
      <c r="I142" s="43">
        <f t="shared" si="18"/>
        <v>26.362954869999992</v>
      </c>
      <c r="J142" s="43">
        <f t="shared" si="18"/>
        <v>13.543509999999987</v>
      </c>
      <c r="K142" s="43">
        <f t="shared" si="18"/>
        <v>23.668113909999995</v>
      </c>
      <c r="L142" s="43">
        <f t="shared" si="18"/>
        <v>10.75439999999999</v>
      </c>
      <c r="M142" s="43">
        <f t="shared" si="18"/>
        <v>11.854956543000002</v>
      </c>
      <c r="N142" s="43">
        <f t="shared" si="18"/>
        <v>1.22811311</v>
      </c>
    </row>
    <row r="143" spans="1:14" s="31" customFormat="1" ht="12.75">
      <c r="A143" s="30"/>
      <c r="B143" s="66" t="s">
        <v>185</v>
      </c>
      <c r="C143" s="30">
        <v>1</v>
      </c>
      <c r="D143" s="30">
        <v>2022</v>
      </c>
      <c r="E143" s="107">
        <v>0.54066543899999997</v>
      </c>
      <c r="F143" s="107">
        <v>0.16</v>
      </c>
      <c r="G143" s="107">
        <v>0.51491771799999997</v>
      </c>
      <c r="H143" s="107">
        <v>0.51491771799999997</v>
      </c>
      <c r="I143" s="105">
        <f>0.2+0.263+0.05188646</f>
        <v>0.51488646000000005</v>
      </c>
      <c r="J143" s="42">
        <v>0.16</v>
      </c>
      <c r="K143" s="105">
        <f>0.2+0.263+0.05188646</f>
        <v>0.51488646000000005</v>
      </c>
      <c r="L143" s="42">
        <v>0.16</v>
      </c>
      <c r="M143" s="42">
        <f>+H143-K143</f>
        <v>3.1257999999922959E-5</v>
      </c>
      <c r="N143" s="43"/>
    </row>
    <row r="144" spans="1:14" s="31" customFormat="1" ht="12.75">
      <c r="A144" s="30"/>
      <c r="B144" s="66" t="s">
        <v>186</v>
      </c>
      <c r="C144" s="30">
        <v>1</v>
      </c>
      <c r="D144" s="30">
        <v>2022</v>
      </c>
      <c r="E144" s="107">
        <v>0.44579074299999999</v>
      </c>
      <c r="F144" s="107">
        <v>0.16</v>
      </c>
      <c r="G144" s="107">
        <v>0.424560981</v>
      </c>
      <c r="H144" s="107">
        <v>0.424560981</v>
      </c>
      <c r="I144" s="105">
        <f>0.2+0.176+0.04842265</f>
        <v>0.42442265000000001</v>
      </c>
      <c r="J144" s="42">
        <v>0.16</v>
      </c>
      <c r="K144" s="105">
        <f>0.2+0.176+0.04842265</f>
        <v>0.42442265000000001</v>
      </c>
      <c r="L144" s="42">
        <v>0.16</v>
      </c>
      <c r="M144" s="42">
        <f t="shared" ref="M144:M162" si="19">+H144-K144</f>
        <v>1.3833099999999154E-4</v>
      </c>
      <c r="N144" s="43"/>
    </row>
    <row r="145" spans="1:14" s="31" customFormat="1" ht="12.75">
      <c r="A145" s="30"/>
      <c r="B145" s="66" t="s">
        <v>187</v>
      </c>
      <c r="C145" s="30">
        <v>1</v>
      </c>
      <c r="D145" s="30">
        <v>2022</v>
      </c>
      <c r="E145" s="107">
        <v>0.41555099400000001</v>
      </c>
      <c r="F145" s="107">
        <v>0.16</v>
      </c>
      <c r="G145" s="107">
        <v>0.45646829500000002</v>
      </c>
      <c r="H145" s="107">
        <v>0.45646829500000002</v>
      </c>
      <c r="I145" s="105">
        <f>0.2+0.2157+0.04071744</f>
        <v>0.45641744000000001</v>
      </c>
      <c r="J145" s="42">
        <v>0.16</v>
      </c>
      <c r="K145" s="105">
        <f>0.2+0.2157+0.04071744</f>
        <v>0.45641744000000001</v>
      </c>
      <c r="L145" s="42">
        <v>0.16</v>
      </c>
      <c r="M145" s="42">
        <f t="shared" si="19"/>
        <v>5.0855000000016304E-5</v>
      </c>
      <c r="N145" s="43"/>
    </row>
    <row r="146" spans="1:14" s="31" customFormat="1" ht="12.75">
      <c r="A146" s="30"/>
      <c r="B146" s="66" t="s">
        <v>188</v>
      </c>
      <c r="C146" s="30">
        <v>1</v>
      </c>
      <c r="D146" s="30">
        <v>2022</v>
      </c>
      <c r="E146" s="107">
        <v>0.51293086600000004</v>
      </c>
      <c r="F146" s="107">
        <v>0.16</v>
      </c>
      <c r="G146" s="107">
        <v>0.39566044299999997</v>
      </c>
      <c r="H146" s="107">
        <v>0.39566044299999997</v>
      </c>
      <c r="I146" s="105">
        <f>0.2+0.1646+0.03096222</f>
        <v>0.39556222000000002</v>
      </c>
      <c r="J146" s="42">
        <v>0.16</v>
      </c>
      <c r="K146" s="105">
        <f>0.2+0.1646+0.03096222</f>
        <v>0.39556222000000002</v>
      </c>
      <c r="L146" s="42">
        <v>0.16</v>
      </c>
      <c r="M146" s="42">
        <f t="shared" si="19"/>
        <v>9.8222999999952876E-5</v>
      </c>
      <c r="N146" s="43"/>
    </row>
    <row r="147" spans="1:14" s="31" customFormat="1" ht="12.75">
      <c r="A147" s="30"/>
      <c r="B147" s="66" t="s">
        <v>189</v>
      </c>
      <c r="C147" s="30">
        <v>1</v>
      </c>
      <c r="D147" s="30">
        <v>2022</v>
      </c>
      <c r="E147" s="107">
        <v>0.418877361</v>
      </c>
      <c r="F147" s="107">
        <v>0.16</v>
      </c>
      <c r="G147" s="107">
        <v>0.48831970800000002</v>
      </c>
      <c r="H147" s="107">
        <v>0.48831970800000002</v>
      </c>
      <c r="I147" s="105">
        <f>0.2+0.232</f>
        <v>0.43200000000000005</v>
      </c>
      <c r="J147" s="105">
        <v>0.16</v>
      </c>
      <c r="K147" s="105">
        <f>0.2+0.232</f>
        <v>0.43200000000000005</v>
      </c>
      <c r="L147" s="105">
        <v>0.16</v>
      </c>
      <c r="M147" s="42">
        <f t="shared" si="19"/>
        <v>5.6319707999999968E-2</v>
      </c>
      <c r="N147" s="43"/>
    </row>
    <row r="148" spans="1:14" s="31" customFormat="1" ht="12.75">
      <c r="A148" s="30"/>
      <c r="B148" s="66" t="s">
        <v>190</v>
      </c>
      <c r="C148" s="30">
        <v>1</v>
      </c>
      <c r="D148" s="30">
        <v>2022</v>
      </c>
      <c r="E148" s="107">
        <v>0.39392426000000003</v>
      </c>
      <c r="F148" s="107">
        <v>0.16</v>
      </c>
      <c r="G148" s="107">
        <v>0.39892958899999997</v>
      </c>
      <c r="H148" s="107">
        <v>0.39892958899999997</v>
      </c>
      <c r="I148" s="105">
        <f>0.2+0.1623</f>
        <v>0.36230000000000001</v>
      </c>
      <c r="J148" s="105">
        <v>0.16</v>
      </c>
      <c r="K148" s="105">
        <f>0.2+0.1623</f>
        <v>0.36230000000000001</v>
      </c>
      <c r="L148" s="105">
        <v>0.16</v>
      </c>
      <c r="M148" s="42">
        <f t="shared" si="19"/>
        <v>3.6629588999999962E-2</v>
      </c>
      <c r="N148" s="43"/>
    </row>
    <row r="149" spans="1:14" s="31" customFormat="1" ht="12.75">
      <c r="A149" s="30"/>
      <c r="B149" s="66" t="s">
        <v>191</v>
      </c>
      <c r="C149" s="30">
        <v>1</v>
      </c>
      <c r="D149" s="30">
        <v>2022</v>
      </c>
      <c r="E149" s="107">
        <v>0.47929315</v>
      </c>
      <c r="F149" s="107">
        <v>0.151</v>
      </c>
      <c r="G149" s="107">
        <v>0.375049992</v>
      </c>
      <c r="H149" s="107">
        <v>0.375049992</v>
      </c>
      <c r="I149" s="105">
        <f>0.2+0.1399</f>
        <v>0.33989999999999998</v>
      </c>
      <c r="J149" s="105">
        <v>0.151</v>
      </c>
      <c r="K149" s="105">
        <f>0.2+0.1399</f>
        <v>0.33989999999999998</v>
      </c>
      <c r="L149" s="105">
        <v>0.151</v>
      </c>
      <c r="M149" s="42">
        <f t="shared" si="19"/>
        <v>3.5149992000000019E-2</v>
      </c>
      <c r="N149" s="43"/>
    </row>
    <row r="150" spans="1:14" s="31" customFormat="1" ht="12.75">
      <c r="A150" s="30"/>
      <c r="B150" s="66" t="s">
        <v>192</v>
      </c>
      <c r="C150" s="30">
        <v>1</v>
      </c>
      <c r="D150" s="30">
        <v>2022</v>
      </c>
      <c r="E150" s="107">
        <v>0.40141523800000001</v>
      </c>
      <c r="F150" s="107">
        <v>0.16</v>
      </c>
      <c r="G150" s="107">
        <v>0.38230022699999999</v>
      </c>
      <c r="H150" s="107">
        <v>0.38230022699999999</v>
      </c>
      <c r="I150" s="105">
        <f>0.2+0.1468</f>
        <v>0.3468</v>
      </c>
      <c r="J150" s="105">
        <v>0.16</v>
      </c>
      <c r="K150" s="105">
        <f>0.2+0.1468</f>
        <v>0.3468</v>
      </c>
      <c r="L150" s="105">
        <v>0.16</v>
      </c>
      <c r="M150" s="42">
        <f t="shared" si="19"/>
        <v>3.5500226999999995E-2</v>
      </c>
      <c r="N150" s="43"/>
    </row>
    <row r="151" spans="1:14" s="31" customFormat="1" ht="12.75">
      <c r="A151" s="30"/>
      <c r="B151" s="66" t="s">
        <v>193</v>
      </c>
      <c r="C151" s="30">
        <v>1</v>
      </c>
      <c r="D151" s="30">
        <v>2022</v>
      </c>
      <c r="E151" s="107">
        <v>0.16224025</v>
      </c>
      <c r="F151" s="107">
        <v>0.08</v>
      </c>
      <c r="G151" s="107">
        <v>0.15445373300000001</v>
      </c>
      <c r="H151" s="107">
        <v>0.15445373300000001</v>
      </c>
      <c r="I151" s="105">
        <f>0.1+0.036</f>
        <v>0.13600000000000001</v>
      </c>
      <c r="J151" s="105">
        <v>0.08</v>
      </c>
      <c r="K151" s="105">
        <f>0.1+0.036</f>
        <v>0.13600000000000001</v>
      </c>
      <c r="L151" s="105">
        <v>0.08</v>
      </c>
      <c r="M151" s="42">
        <f t="shared" si="19"/>
        <v>1.8453733E-2</v>
      </c>
      <c r="N151" s="43"/>
    </row>
    <row r="152" spans="1:14" s="31" customFormat="1" ht="12.75">
      <c r="A152" s="30"/>
      <c r="B152" s="66" t="s">
        <v>194</v>
      </c>
      <c r="C152" s="30">
        <v>1</v>
      </c>
      <c r="D152" s="30">
        <v>2022</v>
      </c>
      <c r="E152" s="107">
        <v>0.347068402</v>
      </c>
      <c r="F152" s="107">
        <v>5.7000000000000002E-2</v>
      </c>
      <c r="G152" s="107">
        <v>0.33054133499999999</v>
      </c>
      <c r="H152" s="107">
        <v>0.33054133499999999</v>
      </c>
      <c r="I152" s="105">
        <f>0.1227+0.0977+0.10921605</f>
        <v>0.32961604999999999</v>
      </c>
      <c r="J152" s="42">
        <v>5.7000000000000002E-2</v>
      </c>
      <c r="K152" s="105">
        <f>0.1227+0.0977+0.10921605</f>
        <v>0.32961604999999999</v>
      </c>
      <c r="L152" s="42">
        <v>5.7000000000000002E-2</v>
      </c>
      <c r="M152" s="42">
        <f t="shared" si="19"/>
        <v>9.2528499999999791E-4</v>
      </c>
      <c r="N152" s="43"/>
    </row>
    <row r="153" spans="1:14" s="31" customFormat="1" ht="12.75">
      <c r="A153" s="30"/>
      <c r="B153" s="62" t="s">
        <v>195</v>
      </c>
      <c r="C153" s="30">
        <v>1</v>
      </c>
      <c r="D153" s="30">
        <v>2022</v>
      </c>
      <c r="E153" s="42">
        <v>0.1158</v>
      </c>
      <c r="F153" s="42">
        <v>0.1</v>
      </c>
      <c r="G153" s="42">
        <v>0.115</v>
      </c>
      <c r="H153" s="42">
        <v>0.115</v>
      </c>
      <c r="I153" s="105">
        <v>0.115</v>
      </c>
      <c r="J153" s="42">
        <v>0.1</v>
      </c>
      <c r="K153" s="105">
        <v>0.115</v>
      </c>
      <c r="L153" s="42">
        <v>0.1</v>
      </c>
      <c r="M153" s="42">
        <f t="shared" si="19"/>
        <v>0</v>
      </c>
      <c r="N153" s="43"/>
    </row>
    <row r="154" spans="1:14" s="31" customFormat="1" ht="12.75">
      <c r="A154" s="30"/>
      <c r="B154" s="34" t="s">
        <v>196</v>
      </c>
      <c r="C154" s="30">
        <v>1</v>
      </c>
      <c r="D154" s="30">
        <v>2022</v>
      </c>
      <c r="E154" s="33">
        <v>0.466256579</v>
      </c>
      <c r="F154" s="33">
        <v>0.1</v>
      </c>
      <c r="G154" s="33">
        <v>0.441245365</v>
      </c>
      <c r="H154" s="33">
        <v>0.441245365</v>
      </c>
      <c r="I154" s="33">
        <f>0.2+0.183</f>
        <v>0.38300000000000001</v>
      </c>
      <c r="J154" s="45"/>
      <c r="K154" s="33">
        <f>0.2+0.183</f>
        <v>0.38300000000000001</v>
      </c>
      <c r="L154" s="45"/>
      <c r="M154" s="42">
        <f t="shared" si="19"/>
        <v>5.8245364999999993E-2</v>
      </c>
      <c r="N154" s="43"/>
    </row>
    <row r="155" spans="1:14" s="31" customFormat="1" ht="12.75">
      <c r="A155" s="30"/>
      <c r="B155" s="34" t="s">
        <v>197</v>
      </c>
      <c r="C155" s="30">
        <v>1</v>
      </c>
      <c r="D155" s="30">
        <v>2022</v>
      </c>
      <c r="E155" s="33">
        <v>0.368814698</v>
      </c>
      <c r="F155" s="33">
        <v>0.1</v>
      </c>
      <c r="G155" s="33">
        <v>0.35125209099999999</v>
      </c>
      <c r="H155" s="33">
        <v>0.35125209099999999</v>
      </c>
      <c r="I155" s="33">
        <v>0.2</v>
      </c>
      <c r="J155" s="45"/>
      <c r="K155" s="33">
        <v>0.2</v>
      </c>
      <c r="L155" s="45"/>
      <c r="M155" s="42">
        <f t="shared" si="19"/>
        <v>0.15125209099999998</v>
      </c>
      <c r="N155" s="43"/>
    </row>
    <row r="156" spans="1:14" s="31" customFormat="1" ht="12.75">
      <c r="A156" s="30"/>
      <c r="B156" s="34" t="s">
        <v>198</v>
      </c>
      <c r="C156" s="30">
        <v>1</v>
      </c>
      <c r="D156" s="30">
        <v>2022</v>
      </c>
      <c r="E156" s="33">
        <v>0.40656181699999999</v>
      </c>
      <c r="F156" s="33">
        <v>0.1</v>
      </c>
      <c r="G156" s="33">
        <v>0.38720173000000002</v>
      </c>
      <c r="H156" s="33">
        <v>0.38720173000000002</v>
      </c>
      <c r="I156" s="33">
        <f>0.2+0.146</f>
        <v>0.34599999999999997</v>
      </c>
      <c r="J156" s="45"/>
      <c r="K156" s="33">
        <f>0.2+0.146</f>
        <v>0.34599999999999997</v>
      </c>
      <c r="L156" s="45"/>
      <c r="M156" s="42">
        <f t="shared" si="19"/>
        <v>4.1201730000000047E-2</v>
      </c>
      <c r="N156" s="43"/>
    </row>
    <row r="157" spans="1:14" s="31" customFormat="1" ht="12.75">
      <c r="A157" s="30"/>
      <c r="B157" s="34" t="s">
        <v>199</v>
      </c>
      <c r="C157" s="30">
        <v>1</v>
      </c>
      <c r="D157" s="30">
        <v>2022</v>
      </c>
      <c r="E157" s="33">
        <v>0.50316103400000001</v>
      </c>
      <c r="F157" s="33">
        <v>0.1</v>
      </c>
      <c r="G157" s="33">
        <v>0.47920098500000002</v>
      </c>
      <c r="H157" s="33">
        <v>0.47920098500000002</v>
      </c>
      <c r="I157" s="33">
        <v>0.2</v>
      </c>
      <c r="J157" s="45"/>
      <c r="K157" s="33">
        <v>0.2</v>
      </c>
      <c r="L157" s="45"/>
      <c r="M157" s="42">
        <f t="shared" si="19"/>
        <v>0.27920098500000001</v>
      </c>
      <c r="N157" s="43"/>
    </row>
    <row r="158" spans="1:14" s="31" customFormat="1" ht="12.75">
      <c r="A158" s="30"/>
      <c r="B158" s="108" t="s">
        <v>200</v>
      </c>
      <c r="C158" s="30">
        <v>1</v>
      </c>
      <c r="D158" s="30">
        <v>2022</v>
      </c>
      <c r="E158" s="109">
        <v>0.60487103099999995</v>
      </c>
      <c r="F158" s="109">
        <v>0.19421250000000001</v>
      </c>
      <c r="G158" s="110">
        <v>0.576067</v>
      </c>
      <c r="H158" s="110">
        <v>0.576067</v>
      </c>
      <c r="I158" s="109">
        <v>0.39789999999999998</v>
      </c>
      <c r="J158" s="111">
        <v>0.19420000000000001</v>
      </c>
      <c r="K158" s="109">
        <v>0.39789999999999998</v>
      </c>
      <c r="L158" s="111">
        <v>0.19420000000000001</v>
      </c>
      <c r="M158" s="42">
        <f t="shared" si="19"/>
        <v>0.17816700000000002</v>
      </c>
      <c r="N158" s="43">
        <f>+F158-L158</f>
        <v>1.2499999999998623E-5</v>
      </c>
    </row>
    <row r="159" spans="1:14" s="31" customFormat="1" ht="25.5">
      <c r="A159" s="30"/>
      <c r="B159" s="112" t="s">
        <v>201</v>
      </c>
      <c r="C159" s="30">
        <v>1</v>
      </c>
      <c r="D159" s="30">
        <v>2022</v>
      </c>
      <c r="E159" s="113">
        <v>0.244126699</v>
      </c>
      <c r="F159" s="113">
        <v>8.2500000000000004E-2</v>
      </c>
      <c r="G159" s="114">
        <v>0.23250699999999999</v>
      </c>
      <c r="H159" s="114">
        <v>0.23250699999999999</v>
      </c>
      <c r="I159" s="113">
        <v>0.1125</v>
      </c>
      <c r="J159" s="115">
        <v>8.2500000000000004E-2</v>
      </c>
      <c r="K159" s="113">
        <v>0.1125</v>
      </c>
      <c r="L159" s="115">
        <v>8.2500000000000004E-2</v>
      </c>
      <c r="M159" s="42">
        <f t="shared" si="19"/>
        <v>0.12000699999999999</v>
      </c>
      <c r="N159" s="43">
        <f t="shared" ref="N159:N162" si="20">+F159-L159</f>
        <v>0</v>
      </c>
    </row>
    <row r="160" spans="1:14" s="31" customFormat="1" ht="25.5">
      <c r="A160" s="30"/>
      <c r="B160" s="112" t="s">
        <v>202</v>
      </c>
      <c r="C160" s="30">
        <v>1</v>
      </c>
      <c r="D160" s="30">
        <v>2022</v>
      </c>
      <c r="E160" s="113">
        <v>0.78852024099999996</v>
      </c>
      <c r="F160" s="113">
        <v>0.30112499999999998</v>
      </c>
      <c r="G160" s="114">
        <v>0.75097100000000006</v>
      </c>
      <c r="H160" s="114">
        <v>0.75097100000000006</v>
      </c>
      <c r="I160" s="113">
        <v>0.47610000000000002</v>
      </c>
      <c r="J160" s="115">
        <v>0.30109999999999998</v>
      </c>
      <c r="K160" s="113">
        <v>0.47610000000000002</v>
      </c>
      <c r="L160" s="115">
        <v>0.30109999999999998</v>
      </c>
      <c r="M160" s="42">
        <f t="shared" si="19"/>
        <v>0.27487100000000003</v>
      </c>
      <c r="N160" s="43">
        <f t="shared" si="20"/>
        <v>2.4999999999997247E-5</v>
      </c>
    </row>
    <row r="161" spans="1:14" s="31" customFormat="1" ht="12.75">
      <c r="A161" s="30"/>
      <c r="B161" s="116" t="s">
        <v>203</v>
      </c>
      <c r="C161" s="30">
        <v>1</v>
      </c>
      <c r="D161" s="30">
        <v>2022</v>
      </c>
      <c r="E161" s="113">
        <v>0.234477355</v>
      </c>
      <c r="F161" s="113">
        <v>0.1152</v>
      </c>
      <c r="G161" s="114">
        <v>0.22331100000000001</v>
      </c>
      <c r="H161" s="114">
        <v>0.22331100000000001</v>
      </c>
      <c r="I161" s="113">
        <v>0.16320000000000001</v>
      </c>
      <c r="J161" s="115">
        <v>0.1152</v>
      </c>
      <c r="K161" s="113">
        <v>0.16320000000000001</v>
      </c>
      <c r="L161" s="115">
        <v>0.1152</v>
      </c>
      <c r="M161" s="42">
        <f t="shared" si="19"/>
        <v>6.0110999999999998E-2</v>
      </c>
      <c r="N161" s="43">
        <f t="shared" si="20"/>
        <v>0</v>
      </c>
    </row>
    <row r="162" spans="1:14" s="31" customFormat="1" ht="12.75">
      <c r="A162" s="30"/>
      <c r="B162" s="117" t="s">
        <v>204</v>
      </c>
      <c r="C162" s="30">
        <v>1</v>
      </c>
      <c r="D162" s="30">
        <v>2022</v>
      </c>
      <c r="E162" s="118">
        <v>0.50131078100000004</v>
      </c>
      <c r="F162" s="118">
        <v>0.2</v>
      </c>
      <c r="G162" s="119">
        <v>0.47743799999999997</v>
      </c>
      <c r="H162" s="119">
        <v>0.47743799999999997</v>
      </c>
      <c r="I162" s="118">
        <v>0.41499999999999998</v>
      </c>
      <c r="J162" s="120">
        <v>0.2</v>
      </c>
      <c r="K162" s="118">
        <v>0.41499999999999998</v>
      </c>
      <c r="L162" s="120">
        <v>0.2</v>
      </c>
      <c r="M162" s="42">
        <f t="shared" si="19"/>
        <v>6.2437999999999994E-2</v>
      </c>
      <c r="N162" s="43">
        <f t="shared" si="20"/>
        <v>0</v>
      </c>
    </row>
    <row r="163" spans="1:14" s="31" customFormat="1" ht="12.75">
      <c r="A163" s="30"/>
      <c r="B163" s="34" t="s">
        <v>205</v>
      </c>
      <c r="C163" s="30">
        <v>1</v>
      </c>
      <c r="D163" s="30">
        <v>2022</v>
      </c>
      <c r="E163" s="77">
        <v>0.40211169200000002</v>
      </c>
      <c r="F163" s="77">
        <v>0.14355000000000001</v>
      </c>
      <c r="G163" s="33"/>
      <c r="H163" s="33"/>
      <c r="I163" s="77">
        <f>J163</f>
        <v>0.14349999999999999</v>
      </c>
      <c r="J163" s="77">
        <v>0.14349999999999999</v>
      </c>
      <c r="K163" s="33"/>
      <c r="L163" s="45"/>
      <c r="M163" s="42">
        <f>+E163-I163</f>
        <v>0.258611692</v>
      </c>
      <c r="N163" s="43">
        <f>+F163-J163</f>
        <v>5.0000000000022249E-5</v>
      </c>
    </row>
    <row r="164" spans="1:14" s="31" customFormat="1" ht="12.75">
      <c r="A164" s="30"/>
      <c r="B164" s="34" t="s">
        <v>206</v>
      </c>
      <c r="C164" s="30">
        <v>1</v>
      </c>
      <c r="D164" s="30">
        <v>2022</v>
      </c>
      <c r="E164" s="77">
        <v>0.23877305099999999</v>
      </c>
      <c r="F164" s="77">
        <v>7.9312499999999994E-2</v>
      </c>
      <c r="G164" s="43"/>
      <c r="H164" s="30"/>
      <c r="I164" s="77">
        <f>J164+0.071815</f>
        <v>0.151115</v>
      </c>
      <c r="J164" s="77">
        <v>7.9299999999999995E-2</v>
      </c>
      <c r="K164" s="43"/>
      <c r="L164" s="45"/>
      <c r="M164" s="42">
        <f t="shared" ref="M164:N166" si="21">+E164-I164</f>
        <v>8.7658050999999987E-2</v>
      </c>
      <c r="N164" s="43">
        <f t="shared" si="21"/>
        <v>1.2499999999998623E-5</v>
      </c>
    </row>
    <row r="165" spans="1:14" s="31" customFormat="1" ht="12.75">
      <c r="A165" s="30"/>
      <c r="B165" s="34" t="s">
        <v>207</v>
      </c>
      <c r="C165" s="30">
        <v>1</v>
      </c>
      <c r="D165" s="30">
        <v>2022</v>
      </c>
      <c r="E165" s="77">
        <v>0.143974885</v>
      </c>
      <c r="F165" s="77">
        <v>8.1780000000000005E-2</v>
      </c>
      <c r="G165" s="43"/>
      <c r="H165" s="30"/>
      <c r="I165" s="77">
        <f>J165+0.0517</f>
        <v>0.10340000000000001</v>
      </c>
      <c r="J165" s="77">
        <v>5.1700000000000003E-2</v>
      </c>
      <c r="K165" s="43"/>
      <c r="L165" s="45"/>
      <c r="M165" s="42">
        <f t="shared" si="21"/>
        <v>4.0574884999999991E-2</v>
      </c>
      <c r="N165" s="43">
        <f t="shared" si="21"/>
        <v>3.0080000000000003E-2</v>
      </c>
    </row>
    <row r="166" spans="1:14" s="31" customFormat="1" ht="12.75">
      <c r="A166" s="30"/>
      <c r="B166" s="34" t="s">
        <v>208</v>
      </c>
      <c r="C166" s="30">
        <v>1</v>
      </c>
      <c r="D166" s="30">
        <v>2022</v>
      </c>
      <c r="E166" s="77">
        <v>0.26594695600000001</v>
      </c>
      <c r="F166" s="77">
        <v>0.13184999999999999</v>
      </c>
      <c r="G166" s="43"/>
      <c r="H166" s="30"/>
      <c r="I166" s="77">
        <f>J166</f>
        <v>0.1318</v>
      </c>
      <c r="J166" s="77">
        <v>0.1318</v>
      </c>
      <c r="K166" s="43"/>
      <c r="L166" s="45"/>
      <c r="M166" s="42">
        <f t="shared" si="21"/>
        <v>0.13414695600000001</v>
      </c>
      <c r="N166" s="43">
        <f t="shared" si="21"/>
        <v>4.9999999999994493E-5</v>
      </c>
    </row>
    <row r="167" spans="1:14" s="31" customFormat="1" ht="12.75">
      <c r="A167" s="30"/>
      <c r="B167" s="47" t="s">
        <v>209</v>
      </c>
      <c r="C167" s="30">
        <v>1</v>
      </c>
      <c r="D167" s="30">
        <v>2022</v>
      </c>
      <c r="E167" s="43">
        <v>0.208646582</v>
      </c>
      <c r="F167" s="43">
        <f>0.0739</f>
        <v>7.3899999999999993E-2</v>
      </c>
      <c r="G167" s="43"/>
      <c r="H167" s="43"/>
      <c r="I167" s="43">
        <f>0.0739</f>
        <v>7.3899999999999993E-2</v>
      </c>
      <c r="J167" s="43">
        <f>0.0739</f>
        <v>7.3899999999999993E-2</v>
      </c>
      <c r="K167" s="43"/>
      <c r="L167" s="43"/>
      <c r="M167" s="43">
        <f>+E167-I167</f>
        <v>0.134746582</v>
      </c>
      <c r="N167" s="121">
        <f>+F167-J167</f>
        <v>0</v>
      </c>
    </row>
    <row r="168" spans="1:14" s="31" customFormat="1" ht="12.75">
      <c r="A168" s="30"/>
      <c r="B168" s="47" t="s">
        <v>210</v>
      </c>
      <c r="C168" s="30">
        <v>1</v>
      </c>
      <c r="D168" s="30">
        <v>2022</v>
      </c>
      <c r="E168" s="43">
        <v>0.107042682</v>
      </c>
      <c r="F168" s="43">
        <f>0.0384</f>
        <v>3.8399999999999997E-2</v>
      </c>
      <c r="G168" s="43"/>
      <c r="H168" s="43"/>
      <c r="I168" s="43">
        <f>0.0384</f>
        <v>3.8399999999999997E-2</v>
      </c>
      <c r="J168" s="43">
        <f>0.0384</f>
        <v>3.8399999999999997E-2</v>
      </c>
      <c r="K168" s="43"/>
      <c r="L168" s="43"/>
      <c r="M168" s="43">
        <f t="shared" ref="M168:N172" si="22">+E168-I168</f>
        <v>6.864268200000001E-2</v>
      </c>
      <c r="N168" s="121">
        <f t="shared" si="22"/>
        <v>0</v>
      </c>
    </row>
    <row r="169" spans="1:14" s="31" customFormat="1" ht="12.75">
      <c r="A169" s="30"/>
      <c r="B169" s="47" t="s">
        <v>211</v>
      </c>
      <c r="C169" s="30">
        <v>1</v>
      </c>
      <c r="D169" s="30">
        <v>2022</v>
      </c>
      <c r="E169" s="43">
        <v>0.43153196300000002</v>
      </c>
      <c r="F169" s="43">
        <f>0.1938</f>
        <v>0.1938</v>
      </c>
      <c r="G169" s="43"/>
      <c r="H169" s="43"/>
      <c r="I169" s="43">
        <f>0.1938</f>
        <v>0.1938</v>
      </c>
      <c r="J169" s="43">
        <f>0.1938</f>
        <v>0.1938</v>
      </c>
      <c r="K169" s="43"/>
      <c r="L169" s="43"/>
      <c r="M169" s="43">
        <f t="shared" si="22"/>
        <v>0.23773196300000002</v>
      </c>
      <c r="N169" s="121">
        <f t="shared" si="22"/>
        <v>0</v>
      </c>
    </row>
    <row r="170" spans="1:14" s="31" customFormat="1" ht="12.75">
      <c r="A170" s="30"/>
      <c r="B170" s="47" t="s">
        <v>212</v>
      </c>
      <c r="C170" s="30">
        <v>1</v>
      </c>
      <c r="D170" s="30">
        <v>2022</v>
      </c>
      <c r="E170" s="43">
        <f>0.066451569</f>
        <v>6.6451569000000002E-2</v>
      </c>
      <c r="F170" s="43">
        <f>0.0324</f>
        <v>3.2399999999999998E-2</v>
      </c>
      <c r="G170" s="43"/>
      <c r="H170" s="43"/>
      <c r="I170" s="43">
        <f>0.0324</f>
        <v>3.2399999999999998E-2</v>
      </c>
      <c r="J170" s="43">
        <f>0.0324</f>
        <v>3.2399999999999998E-2</v>
      </c>
      <c r="K170" s="43"/>
      <c r="L170" s="43"/>
      <c r="M170" s="43">
        <f t="shared" si="22"/>
        <v>3.4051569000000004E-2</v>
      </c>
      <c r="N170" s="121">
        <f t="shared" si="22"/>
        <v>0</v>
      </c>
    </row>
    <row r="171" spans="1:14" s="31" customFormat="1" ht="12.75">
      <c r="A171" s="30"/>
      <c r="B171" s="47" t="s">
        <v>213</v>
      </c>
      <c r="C171" s="30">
        <v>1</v>
      </c>
      <c r="D171" s="30">
        <v>2022</v>
      </c>
      <c r="E171" s="43">
        <v>0.26735262500000001</v>
      </c>
      <c r="F171" s="43">
        <f>0.1174</f>
        <v>0.1174</v>
      </c>
      <c r="G171" s="43"/>
      <c r="H171" s="43"/>
      <c r="I171" s="43">
        <f>0.1174</f>
        <v>0.1174</v>
      </c>
      <c r="J171" s="43">
        <f>0.1174</f>
        <v>0.1174</v>
      </c>
      <c r="K171" s="43"/>
      <c r="L171" s="43"/>
      <c r="M171" s="43">
        <f t="shared" si="22"/>
        <v>0.14995262500000001</v>
      </c>
      <c r="N171" s="121">
        <f t="shared" si="22"/>
        <v>0</v>
      </c>
    </row>
    <row r="172" spans="1:14" s="31" customFormat="1" ht="12.75">
      <c r="A172" s="30"/>
      <c r="B172" s="47" t="s">
        <v>214</v>
      </c>
      <c r="C172" s="30">
        <v>1</v>
      </c>
      <c r="D172" s="30">
        <v>2022</v>
      </c>
      <c r="E172" s="43">
        <f>0.017481144</f>
        <v>1.7481144000000001E-2</v>
      </c>
      <c r="F172" s="43">
        <f>0.0086</f>
        <v>8.6E-3</v>
      </c>
      <c r="G172" s="43"/>
      <c r="H172" s="43"/>
      <c r="I172" s="43">
        <f>0.0086</f>
        <v>8.6E-3</v>
      </c>
      <c r="J172" s="43">
        <f>0.0086</f>
        <v>8.6E-3</v>
      </c>
      <c r="K172" s="43"/>
      <c r="L172" s="43"/>
      <c r="M172" s="43">
        <f t="shared" si="22"/>
        <v>8.8811440000000005E-3</v>
      </c>
      <c r="N172" s="121">
        <f t="shared" si="22"/>
        <v>0</v>
      </c>
    </row>
    <row r="173" spans="1:14" s="31" customFormat="1" ht="12.75">
      <c r="A173" s="30"/>
      <c r="B173" s="122" t="s">
        <v>215</v>
      </c>
      <c r="C173" s="30">
        <v>1</v>
      </c>
      <c r="D173" s="30">
        <v>2022</v>
      </c>
      <c r="E173" s="123">
        <v>8.1049916E-2</v>
      </c>
      <c r="F173" s="123">
        <v>8.1049916E-2</v>
      </c>
      <c r="G173" s="123">
        <v>8.1049916E-2</v>
      </c>
      <c r="H173" s="123">
        <v>8.1049916E-2</v>
      </c>
      <c r="I173" s="124">
        <v>7.4899999999999994E-2</v>
      </c>
      <c r="J173" s="124">
        <v>7.4899999999999994E-2</v>
      </c>
      <c r="K173" s="124">
        <v>7.4899999999999994E-2</v>
      </c>
      <c r="L173" s="124">
        <v>7.4899999999999994E-2</v>
      </c>
      <c r="M173" s="43">
        <f>+H173-K173</f>
        <v>6.1499160000000053E-3</v>
      </c>
      <c r="N173" s="43">
        <f>+F173-L173</f>
        <v>6.1499160000000053E-3</v>
      </c>
    </row>
    <row r="174" spans="1:14" s="31" customFormat="1" ht="12.75">
      <c r="A174" s="30"/>
      <c r="B174" s="125" t="s">
        <v>216</v>
      </c>
      <c r="C174" s="30">
        <v>1</v>
      </c>
      <c r="D174" s="30">
        <v>2022</v>
      </c>
      <c r="E174" s="126">
        <v>9.7909595000000002E-2</v>
      </c>
      <c r="F174" s="126">
        <v>9.7909595000000002E-2</v>
      </c>
      <c r="G174" s="126">
        <v>9.7909595000000002E-2</v>
      </c>
      <c r="H174" s="126">
        <v>9.7909595000000002E-2</v>
      </c>
      <c r="I174" s="127">
        <v>9.1200000000000003E-2</v>
      </c>
      <c r="J174" s="127">
        <v>9.1200000000000003E-2</v>
      </c>
      <c r="K174" s="127">
        <v>9.1200000000000003E-2</v>
      </c>
      <c r="L174" s="127">
        <v>9.1200000000000003E-2</v>
      </c>
      <c r="M174" s="43">
        <f t="shared" ref="M174:M179" si="23">+H174-K174</f>
        <v>6.7095949999999988E-3</v>
      </c>
      <c r="N174" s="43">
        <f t="shared" ref="N174:N179" si="24">+F174-L174</f>
        <v>6.7095949999999988E-3</v>
      </c>
    </row>
    <row r="175" spans="1:14" s="31" customFormat="1" ht="12.75">
      <c r="A175" s="30"/>
      <c r="B175" s="125" t="s">
        <v>217</v>
      </c>
      <c r="C175" s="30">
        <v>1</v>
      </c>
      <c r="D175" s="30">
        <v>2022</v>
      </c>
      <c r="E175" s="126">
        <v>0.35288657600000001</v>
      </c>
      <c r="F175" s="43">
        <v>0.2</v>
      </c>
      <c r="G175" s="126">
        <v>0.35288657600000001</v>
      </c>
      <c r="H175" s="126">
        <v>0.35288657600000001</v>
      </c>
      <c r="I175" s="128">
        <v>0.2</v>
      </c>
      <c r="J175" s="128">
        <v>0.2</v>
      </c>
      <c r="K175" s="128">
        <v>0.2</v>
      </c>
      <c r="L175" s="128">
        <v>0.2</v>
      </c>
      <c r="M175" s="43">
        <f t="shared" si="23"/>
        <v>0.152886576</v>
      </c>
      <c r="N175" s="43">
        <f t="shared" si="24"/>
        <v>0</v>
      </c>
    </row>
    <row r="176" spans="1:14" s="31" customFormat="1" ht="12.75">
      <c r="A176" s="30"/>
      <c r="B176" s="125" t="s">
        <v>218</v>
      </c>
      <c r="C176" s="30">
        <v>1</v>
      </c>
      <c r="D176" s="30">
        <v>2022</v>
      </c>
      <c r="E176" s="126">
        <v>0.41620823400000001</v>
      </c>
      <c r="F176" s="43">
        <v>0.2</v>
      </c>
      <c r="G176" s="126">
        <v>0.41620823400000001</v>
      </c>
      <c r="H176" s="126">
        <v>0.41620823400000001</v>
      </c>
      <c r="I176" s="128">
        <v>0.2</v>
      </c>
      <c r="J176" s="128">
        <v>0.2</v>
      </c>
      <c r="K176" s="128">
        <v>0.2</v>
      </c>
      <c r="L176" s="128">
        <v>0.2</v>
      </c>
      <c r="M176" s="43">
        <f t="shared" si="23"/>
        <v>0.216208234</v>
      </c>
      <c r="N176" s="43">
        <f t="shared" si="24"/>
        <v>0</v>
      </c>
    </row>
    <row r="177" spans="1:17" s="31" customFormat="1" ht="12.75">
      <c r="A177" s="30"/>
      <c r="B177" s="125" t="s">
        <v>219</v>
      </c>
      <c r="C177" s="30">
        <v>1</v>
      </c>
      <c r="D177" s="30">
        <v>2022</v>
      </c>
      <c r="E177" s="126">
        <v>0.38868451900000001</v>
      </c>
      <c r="F177" s="43">
        <v>0.2</v>
      </c>
      <c r="G177" s="126">
        <v>0.38868451900000001</v>
      </c>
      <c r="H177" s="126">
        <v>0.38868451900000001</v>
      </c>
      <c r="I177" s="128">
        <v>0.2</v>
      </c>
      <c r="J177" s="128">
        <v>0.2</v>
      </c>
      <c r="K177" s="128">
        <v>0.2</v>
      </c>
      <c r="L177" s="128">
        <v>0.2</v>
      </c>
      <c r="M177" s="43">
        <f t="shared" si="23"/>
        <v>0.18868451899999999</v>
      </c>
      <c r="N177" s="43">
        <f t="shared" si="24"/>
        <v>0</v>
      </c>
    </row>
    <row r="178" spans="1:17" s="31" customFormat="1" ht="12.75">
      <c r="A178" s="30"/>
      <c r="B178" s="125" t="s">
        <v>220</v>
      </c>
      <c r="C178" s="30">
        <v>1</v>
      </c>
      <c r="D178" s="30">
        <v>2022</v>
      </c>
      <c r="E178" s="126">
        <v>0.477862442</v>
      </c>
      <c r="F178" s="43">
        <v>0.2</v>
      </c>
      <c r="G178" s="126">
        <v>0.477862442</v>
      </c>
      <c r="H178" s="126">
        <v>0.477862442</v>
      </c>
      <c r="I178" s="128">
        <v>0.2</v>
      </c>
      <c r="J178" s="128">
        <v>0.2</v>
      </c>
      <c r="K178" s="128">
        <v>0.2</v>
      </c>
      <c r="L178" s="128">
        <v>0.2</v>
      </c>
      <c r="M178" s="43">
        <f t="shared" si="23"/>
        <v>0.27786244199999999</v>
      </c>
      <c r="N178" s="43">
        <f t="shared" si="24"/>
        <v>0</v>
      </c>
    </row>
    <row r="179" spans="1:17" s="31" customFormat="1" ht="12.75">
      <c r="A179" s="30"/>
      <c r="B179" s="129" t="s">
        <v>221</v>
      </c>
      <c r="C179" s="30">
        <v>1</v>
      </c>
      <c r="D179" s="30">
        <v>2022</v>
      </c>
      <c r="E179" s="130">
        <v>0.49625133500000002</v>
      </c>
      <c r="F179" s="43">
        <v>0.2</v>
      </c>
      <c r="G179" s="130">
        <v>0.49625133500000002</v>
      </c>
      <c r="H179" s="130">
        <v>0.49625133500000002</v>
      </c>
      <c r="I179" s="131">
        <v>0.2</v>
      </c>
      <c r="J179" s="131">
        <v>0.2</v>
      </c>
      <c r="K179" s="131">
        <v>0.2</v>
      </c>
      <c r="L179" s="131">
        <v>0.2</v>
      </c>
      <c r="M179" s="43">
        <f t="shared" si="23"/>
        <v>0.296251335</v>
      </c>
      <c r="N179" s="43">
        <f t="shared" si="24"/>
        <v>0</v>
      </c>
    </row>
    <row r="180" spans="1:17" s="31" customFormat="1" ht="24" customHeight="1">
      <c r="A180" s="30"/>
      <c r="B180" s="34" t="s">
        <v>223</v>
      </c>
      <c r="C180" s="30">
        <v>1</v>
      </c>
      <c r="D180" s="30">
        <v>2022</v>
      </c>
      <c r="E180" s="105">
        <f>0.365326135</f>
        <v>0.365326135</v>
      </c>
      <c r="F180" s="132">
        <v>0.1</v>
      </c>
      <c r="G180" s="30"/>
      <c r="H180" s="30"/>
      <c r="I180" s="133">
        <v>0.34792963999999998</v>
      </c>
      <c r="J180" s="132">
        <v>0.1</v>
      </c>
      <c r="K180" s="133">
        <v>0.34792963999999998</v>
      </c>
      <c r="L180" s="132">
        <v>0.1</v>
      </c>
      <c r="M180" s="30"/>
      <c r="N180" s="30"/>
    </row>
    <row r="181" spans="1:17" s="31" customFormat="1" ht="24" customHeight="1">
      <c r="A181" s="30"/>
      <c r="B181" s="34" t="s">
        <v>224</v>
      </c>
      <c r="C181" s="30">
        <v>1</v>
      </c>
      <c r="D181" s="30">
        <v>2022</v>
      </c>
      <c r="E181" s="133">
        <f>0.382797307</f>
        <v>0.38279730699999998</v>
      </c>
      <c r="F181" s="132">
        <v>0.1</v>
      </c>
      <c r="G181" s="30"/>
      <c r="H181" s="30"/>
      <c r="I181" s="93">
        <v>0.33685799999999999</v>
      </c>
      <c r="J181" s="132">
        <v>0.1</v>
      </c>
      <c r="K181" s="93">
        <v>0.33685799999999999</v>
      </c>
      <c r="L181" s="132">
        <v>0.1</v>
      </c>
      <c r="M181" s="30"/>
      <c r="N181" s="30"/>
    </row>
    <row r="182" spans="1:17" s="31" customFormat="1" ht="24" customHeight="1">
      <c r="A182" s="30"/>
      <c r="B182" s="34" t="s">
        <v>225</v>
      </c>
      <c r="C182" s="30">
        <v>1</v>
      </c>
      <c r="D182" s="30">
        <v>2022</v>
      </c>
      <c r="E182" s="93">
        <f>0.454838385</f>
        <v>0.45483838500000001</v>
      </c>
      <c r="F182" s="132">
        <v>0.1</v>
      </c>
      <c r="G182" s="30"/>
      <c r="H182" s="30"/>
      <c r="I182" s="93">
        <v>0.39027000000000001</v>
      </c>
      <c r="J182" s="132">
        <v>0.1</v>
      </c>
      <c r="K182" s="93">
        <v>0.39027000000000001</v>
      </c>
      <c r="L182" s="132">
        <v>0.1</v>
      </c>
      <c r="M182" s="30"/>
      <c r="N182" s="30"/>
    </row>
    <row r="183" spans="1:17" s="31" customFormat="1" ht="24" customHeight="1">
      <c r="A183" s="30"/>
      <c r="B183" s="34" t="s">
        <v>226</v>
      </c>
      <c r="C183" s="30">
        <v>1</v>
      </c>
      <c r="D183" s="30">
        <v>2022</v>
      </c>
      <c r="E183" s="93">
        <f>0.388795824</f>
        <v>0.38879582400000001</v>
      </c>
      <c r="F183" s="132">
        <v>0.1</v>
      </c>
      <c r="G183" s="30"/>
      <c r="H183" s="30"/>
      <c r="I183" s="93">
        <v>0.33465299999999998</v>
      </c>
      <c r="J183" s="132">
        <v>0.1</v>
      </c>
      <c r="K183" s="93">
        <v>0.33465299999999998</v>
      </c>
      <c r="L183" s="132">
        <v>0.1</v>
      </c>
      <c r="M183" s="30"/>
      <c r="N183" s="30"/>
    </row>
    <row r="184" spans="1:17" s="31" customFormat="1" ht="24" customHeight="1">
      <c r="A184" s="30"/>
      <c r="B184" s="34" t="s">
        <v>227</v>
      </c>
      <c r="C184" s="30">
        <v>1</v>
      </c>
      <c r="D184" s="30">
        <v>2022</v>
      </c>
      <c r="E184" s="93">
        <f>0.518261169</f>
        <v>0.51826116899999997</v>
      </c>
      <c r="F184" s="132">
        <v>0.1</v>
      </c>
      <c r="G184" s="30"/>
      <c r="H184" s="30"/>
      <c r="I184" s="93">
        <v>0.27060000000000001</v>
      </c>
      <c r="J184" s="132">
        <v>0.1</v>
      </c>
      <c r="K184" s="93">
        <v>0.27060000000000001</v>
      </c>
      <c r="L184" s="132">
        <v>0.1</v>
      </c>
      <c r="M184" s="30"/>
      <c r="N184" s="30"/>
    </row>
    <row r="185" spans="1:17" s="31" customFormat="1" ht="24" customHeight="1">
      <c r="A185" s="30"/>
      <c r="B185" s="34" t="s">
        <v>228</v>
      </c>
      <c r="C185" s="30">
        <v>1</v>
      </c>
      <c r="D185" s="30">
        <v>2022</v>
      </c>
      <c r="E185" s="93">
        <f>0.610549091</f>
        <v>0.61054909099999999</v>
      </c>
      <c r="F185" s="132">
        <v>0.1</v>
      </c>
      <c r="G185" s="30"/>
      <c r="H185" s="30"/>
      <c r="I185" s="93">
        <v>0.35499999999999998</v>
      </c>
      <c r="J185" s="132">
        <v>0.1</v>
      </c>
      <c r="K185" s="93">
        <v>0.35499999999999998</v>
      </c>
      <c r="L185" s="132">
        <v>0.1</v>
      </c>
      <c r="M185" s="30"/>
      <c r="N185" s="30"/>
    </row>
    <row r="186" spans="1:17" s="31" customFormat="1" ht="24" customHeight="1">
      <c r="A186" s="30"/>
      <c r="B186" s="134" t="s">
        <v>229</v>
      </c>
      <c r="C186" s="30">
        <v>1</v>
      </c>
      <c r="D186" s="30">
        <v>2022</v>
      </c>
      <c r="E186" s="93">
        <f>0.283129344</f>
        <v>0.28312934400000001</v>
      </c>
      <c r="F186" s="132">
        <v>0.06</v>
      </c>
      <c r="G186" s="30"/>
      <c r="H186" s="30"/>
      <c r="I186" s="93">
        <v>0.10338</v>
      </c>
      <c r="J186" s="132">
        <v>0.06</v>
      </c>
      <c r="K186" s="93">
        <v>0.10338</v>
      </c>
      <c r="L186" s="132">
        <v>0.06</v>
      </c>
      <c r="M186" s="30"/>
      <c r="N186" s="30"/>
      <c r="Q186" s="31" t="s">
        <v>149</v>
      </c>
    </row>
    <row r="187" spans="1:17" s="31" customFormat="1" ht="24" customHeight="1">
      <c r="A187" s="30"/>
      <c r="B187" s="134" t="s">
        <v>230</v>
      </c>
      <c r="C187" s="30">
        <v>1</v>
      </c>
      <c r="D187" s="30">
        <v>2022</v>
      </c>
      <c r="E187" s="93">
        <f>0.347562512</f>
        <v>0.34756251199999999</v>
      </c>
      <c r="F187" s="132">
        <v>0.08</v>
      </c>
      <c r="G187" s="30"/>
      <c r="H187" s="30"/>
      <c r="I187" s="93">
        <v>0.1419</v>
      </c>
      <c r="J187" s="132">
        <v>0.08</v>
      </c>
      <c r="K187" s="93">
        <v>0.1419</v>
      </c>
      <c r="L187" s="132">
        <v>0.08</v>
      </c>
      <c r="M187" s="30"/>
      <c r="N187" s="30"/>
    </row>
    <row r="188" spans="1:17" s="31" customFormat="1" ht="12.75">
      <c r="A188" s="30"/>
      <c r="B188" s="34" t="s">
        <v>232</v>
      </c>
      <c r="C188" s="30">
        <v>1</v>
      </c>
      <c r="D188" s="30">
        <v>2022</v>
      </c>
      <c r="E188" s="43">
        <v>0.34094788599999998</v>
      </c>
      <c r="F188" s="43">
        <v>0.12081</v>
      </c>
      <c r="G188" s="43">
        <v>0.32471227200000002</v>
      </c>
      <c r="H188" s="43"/>
      <c r="I188" s="43">
        <v>0.22839180000000001</v>
      </c>
      <c r="J188" s="43">
        <v>0.1208</v>
      </c>
      <c r="K188" s="43"/>
      <c r="L188" s="43"/>
      <c r="M188" s="43">
        <f>G188-I188</f>
        <v>9.6320472000000018E-2</v>
      </c>
      <c r="N188" s="43"/>
    </row>
    <row r="189" spans="1:17" s="31" customFormat="1" ht="12.75">
      <c r="A189" s="30"/>
      <c r="B189" s="34" t="s">
        <v>233</v>
      </c>
      <c r="C189" s="30">
        <v>1</v>
      </c>
      <c r="D189" s="30">
        <v>2022</v>
      </c>
      <c r="E189" s="43">
        <v>0.31558062599999998</v>
      </c>
      <c r="F189" s="43">
        <v>0.10002</v>
      </c>
      <c r="G189" s="43">
        <v>0.300552977</v>
      </c>
      <c r="H189" s="43"/>
      <c r="I189" s="43">
        <v>0.19642116000000001</v>
      </c>
      <c r="J189" s="43">
        <v>0.1</v>
      </c>
      <c r="K189" s="43"/>
      <c r="L189" s="43"/>
      <c r="M189" s="43">
        <f>G189-I189</f>
        <v>0.10413181699999999</v>
      </c>
      <c r="N189" s="43"/>
    </row>
    <row r="190" spans="1:17" s="31" customFormat="1" ht="12.75">
      <c r="A190" s="30"/>
      <c r="B190" s="47" t="s">
        <v>234</v>
      </c>
      <c r="C190" s="30">
        <v>1</v>
      </c>
      <c r="D190" s="30">
        <v>2022</v>
      </c>
      <c r="E190" s="135">
        <v>0.50552233800000002</v>
      </c>
      <c r="F190" s="135">
        <v>0.2</v>
      </c>
      <c r="G190" s="135">
        <v>0.48024622110000004</v>
      </c>
      <c r="H190" s="136"/>
      <c r="I190" s="135">
        <f>F190</f>
        <v>0.2</v>
      </c>
      <c r="J190" s="135">
        <v>0.2</v>
      </c>
      <c r="K190" s="43"/>
      <c r="L190" s="45"/>
      <c r="M190" s="43">
        <f>+E190-I190</f>
        <v>0.305522338</v>
      </c>
      <c r="N190" s="43">
        <f>+F190-J190</f>
        <v>0</v>
      </c>
    </row>
    <row r="191" spans="1:17" s="31" customFormat="1" ht="12.75">
      <c r="A191" s="30"/>
      <c r="B191" s="47" t="s">
        <v>235</v>
      </c>
      <c r="C191" s="30">
        <v>1</v>
      </c>
      <c r="D191" s="30">
        <v>2022</v>
      </c>
      <c r="E191" s="135">
        <v>0.475454294</v>
      </c>
      <c r="F191" s="135">
        <v>0.2</v>
      </c>
      <c r="G191" s="135">
        <v>0.45168157930000002</v>
      </c>
      <c r="H191" s="136"/>
      <c r="I191" s="135">
        <f t="shared" ref="I191:I199" si="25">F191</f>
        <v>0.2</v>
      </c>
      <c r="J191" s="135">
        <v>0.2</v>
      </c>
      <c r="K191" s="43"/>
      <c r="L191" s="45"/>
      <c r="M191" s="43">
        <f t="shared" ref="M191:N200" si="26">+E191-I191</f>
        <v>0.27545429399999999</v>
      </c>
      <c r="N191" s="43">
        <f t="shared" si="26"/>
        <v>0</v>
      </c>
    </row>
    <row r="192" spans="1:17" s="31" customFormat="1" ht="12.75">
      <c r="A192" s="30"/>
      <c r="B192" s="47" t="s">
        <v>236</v>
      </c>
      <c r="C192" s="30">
        <v>1</v>
      </c>
      <c r="D192" s="30">
        <v>2022</v>
      </c>
      <c r="E192" s="135">
        <v>0.45106958899999999</v>
      </c>
      <c r="F192" s="135">
        <v>0.2</v>
      </c>
      <c r="G192" s="135">
        <v>0.42851610955000002</v>
      </c>
      <c r="H192" s="136"/>
      <c r="I192" s="135">
        <v>0</v>
      </c>
      <c r="J192" s="135">
        <v>0</v>
      </c>
      <c r="K192" s="43"/>
      <c r="L192" s="45"/>
      <c r="M192" s="43">
        <f t="shared" si="26"/>
        <v>0.45106958899999999</v>
      </c>
      <c r="N192" s="43">
        <f t="shared" si="26"/>
        <v>0.2</v>
      </c>
    </row>
    <row r="193" spans="1:14" s="31" customFormat="1" ht="12.75">
      <c r="A193" s="30"/>
      <c r="B193" s="47" t="s">
        <v>237</v>
      </c>
      <c r="C193" s="30">
        <v>1</v>
      </c>
      <c r="D193" s="30">
        <v>2022</v>
      </c>
      <c r="E193" s="135">
        <v>0.485720443</v>
      </c>
      <c r="F193" s="135">
        <v>0.2</v>
      </c>
      <c r="G193" s="135">
        <v>0.46143442085000003</v>
      </c>
      <c r="H193" s="136"/>
      <c r="I193" s="135">
        <f t="shared" si="25"/>
        <v>0.2</v>
      </c>
      <c r="J193" s="135">
        <v>0.2</v>
      </c>
      <c r="K193" s="43"/>
      <c r="L193" s="45"/>
      <c r="M193" s="43">
        <f t="shared" si="26"/>
        <v>0.28572044299999999</v>
      </c>
      <c r="N193" s="43">
        <f t="shared" si="26"/>
        <v>0</v>
      </c>
    </row>
    <row r="194" spans="1:14" s="31" customFormat="1" ht="12.75">
      <c r="A194" s="30"/>
      <c r="B194" s="47" t="s">
        <v>238</v>
      </c>
      <c r="C194" s="30">
        <v>1</v>
      </c>
      <c r="D194" s="30">
        <v>2022</v>
      </c>
      <c r="E194" s="135">
        <v>0.48569641200000002</v>
      </c>
      <c r="F194" s="135">
        <v>0.2</v>
      </c>
      <c r="G194" s="135">
        <v>0.46141159139999999</v>
      </c>
      <c r="H194" s="136"/>
      <c r="I194" s="135">
        <f t="shared" si="25"/>
        <v>0.2</v>
      </c>
      <c r="J194" s="135">
        <v>0.2</v>
      </c>
      <c r="K194" s="43"/>
      <c r="L194" s="45"/>
      <c r="M194" s="43">
        <f t="shared" si="26"/>
        <v>0.28569641200000001</v>
      </c>
      <c r="N194" s="43">
        <f t="shared" si="26"/>
        <v>0</v>
      </c>
    </row>
    <row r="195" spans="1:14" s="31" customFormat="1" ht="12.75">
      <c r="A195" s="30"/>
      <c r="B195" s="47" t="s">
        <v>239</v>
      </c>
      <c r="C195" s="30">
        <v>1</v>
      </c>
      <c r="D195" s="30">
        <v>2022</v>
      </c>
      <c r="E195" s="135">
        <v>0.421005821</v>
      </c>
      <c r="F195" s="135">
        <v>0.14709</v>
      </c>
      <c r="G195" s="135">
        <v>0.39995552995</v>
      </c>
      <c r="H195" s="136"/>
      <c r="I195" s="135">
        <f t="shared" si="25"/>
        <v>0.14709</v>
      </c>
      <c r="J195" s="135">
        <v>0.14709</v>
      </c>
      <c r="K195" s="43"/>
      <c r="L195" s="45"/>
      <c r="M195" s="43">
        <f t="shared" si="26"/>
        <v>0.273915821</v>
      </c>
      <c r="N195" s="43">
        <f t="shared" si="26"/>
        <v>0</v>
      </c>
    </row>
    <row r="196" spans="1:14" s="31" customFormat="1" ht="12.75">
      <c r="A196" s="30"/>
      <c r="B196" s="47" t="s">
        <v>240</v>
      </c>
      <c r="C196" s="30">
        <v>1</v>
      </c>
      <c r="D196" s="30">
        <v>2022</v>
      </c>
      <c r="E196" s="135">
        <v>0.13541272100000001</v>
      </c>
      <c r="F196" s="135">
        <v>4.8390000000000002E-2</v>
      </c>
      <c r="G196" s="135">
        <v>0.12864208495000001</v>
      </c>
      <c r="H196" s="136"/>
      <c r="I196" s="135">
        <f t="shared" si="25"/>
        <v>4.8390000000000002E-2</v>
      </c>
      <c r="J196" s="135">
        <v>4.8390000000000002E-2</v>
      </c>
      <c r="K196" s="43"/>
      <c r="L196" s="45"/>
      <c r="M196" s="43">
        <f t="shared" si="26"/>
        <v>8.7022721000000011E-2</v>
      </c>
      <c r="N196" s="43">
        <f t="shared" si="26"/>
        <v>0</v>
      </c>
    </row>
    <row r="197" spans="1:14" s="31" customFormat="1" ht="12.75">
      <c r="A197" s="30"/>
      <c r="B197" s="47" t="s">
        <v>241</v>
      </c>
      <c r="C197" s="30">
        <v>1</v>
      </c>
      <c r="D197" s="30">
        <v>2022</v>
      </c>
      <c r="E197" s="135">
        <v>0.235368088</v>
      </c>
      <c r="F197" s="135">
        <v>7.4099999999999999E-2</v>
      </c>
      <c r="G197" s="135">
        <v>0.22359968359999999</v>
      </c>
      <c r="H197" s="136"/>
      <c r="I197" s="135">
        <f t="shared" si="25"/>
        <v>7.4099999999999999E-2</v>
      </c>
      <c r="J197" s="135">
        <v>7.4099999999999999E-2</v>
      </c>
      <c r="K197" s="43"/>
      <c r="L197" s="45"/>
      <c r="M197" s="43">
        <f t="shared" si="26"/>
        <v>0.161268088</v>
      </c>
      <c r="N197" s="43">
        <f t="shared" si="26"/>
        <v>0</v>
      </c>
    </row>
    <row r="198" spans="1:14" s="31" customFormat="1" ht="12.75">
      <c r="A198" s="30"/>
      <c r="B198" s="47" t="s">
        <v>242</v>
      </c>
      <c r="C198" s="30">
        <v>1</v>
      </c>
      <c r="D198" s="30">
        <v>2022</v>
      </c>
      <c r="E198" s="135">
        <v>0.16778407000000001</v>
      </c>
      <c r="F198" s="135">
        <v>6.0630000000000003E-2</v>
      </c>
      <c r="G198" s="135">
        <v>0.15939486650000001</v>
      </c>
      <c r="H198" s="136"/>
      <c r="I198" s="135">
        <f t="shared" si="25"/>
        <v>6.0630000000000003E-2</v>
      </c>
      <c r="J198" s="135">
        <v>6.0630000000000003E-2</v>
      </c>
      <c r="K198" s="43"/>
      <c r="L198" s="45"/>
      <c r="M198" s="43">
        <f t="shared" si="26"/>
        <v>0.10715407</v>
      </c>
      <c r="N198" s="43">
        <f t="shared" si="26"/>
        <v>0</v>
      </c>
    </row>
    <row r="199" spans="1:14" s="31" customFormat="1" ht="12.75">
      <c r="A199" s="30"/>
      <c r="B199" s="47" t="s">
        <v>243</v>
      </c>
      <c r="C199" s="30">
        <v>1</v>
      </c>
      <c r="D199" s="30">
        <v>2022</v>
      </c>
      <c r="E199" s="135">
        <v>0.290853906</v>
      </c>
      <c r="F199" s="135">
        <v>0.10199999999999999</v>
      </c>
      <c r="G199" s="135">
        <v>0.27631121069999998</v>
      </c>
      <c r="H199" s="135"/>
      <c r="I199" s="135">
        <f t="shared" si="25"/>
        <v>0.10199999999999999</v>
      </c>
      <c r="J199" s="135">
        <v>0.10199999999999999</v>
      </c>
      <c r="K199" s="43"/>
      <c r="L199" s="45"/>
      <c r="M199" s="43">
        <f t="shared" si="26"/>
        <v>0.18885390600000002</v>
      </c>
      <c r="N199" s="43">
        <f t="shared" si="26"/>
        <v>0</v>
      </c>
    </row>
    <row r="200" spans="1:14" s="31" customFormat="1" ht="12.75">
      <c r="A200" s="30"/>
      <c r="B200" s="47" t="s">
        <v>244</v>
      </c>
      <c r="C200" s="30">
        <v>1</v>
      </c>
      <c r="D200" s="30">
        <v>2022</v>
      </c>
      <c r="E200" s="135">
        <v>0.98502359900000003</v>
      </c>
      <c r="F200" s="135">
        <v>0.98502359900000003</v>
      </c>
      <c r="G200" s="135">
        <v>0.93577241904999997</v>
      </c>
      <c r="H200" s="135"/>
      <c r="I200" s="135">
        <v>0</v>
      </c>
      <c r="J200" s="135">
        <v>0</v>
      </c>
      <c r="K200" s="43"/>
      <c r="L200" s="45"/>
      <c r="M200" s="43">
        <f t="shared" si="26"/>
        <v>0.98502359900000003</v>
      </c>
      <c r="N200" s="43">
        <f t="shared" si="26"/>
        <v>0.98502359900000003</v>
      </c>
    </row>
    <row r="201" spans="1:14" s="31" customFormat="1" ht="12.75">
      <c r="A201" s="30"/>
      <c r="B201" s="67" t="s">
        <v>245</v>
      </c>
      <c r="C201" s="30">
        <v>1</v>
      </c>
      <c r="D201" s="30">
        <v>2022</v>
      </c>
      <c r="E201" s="137">
        <v>0.10406102</v>
      </c>
      <c r="F201" s="43">
        <v>3.5000000000000003E-2</v>
      </c>
      <c r="G201" s="43">
        <v>9.9105733000000001E-2</v>
      </c>
      <c r="H201" s="43"/>
      <c r="I201" s="43">
        <f>0.09899151</f>
        <v>9.8991510000000005E-2</v>
      </c>
      <c r="J201" s="43">
        <f>F201</f>
        <v>3.5000000000000003E-2</v>
      </c>
      <c r="K201" s="43">
        <f>I201</f>
        <v>9.8991510000000005E-2</v>
      </c>
      <c r="L201" s="43">
        <f>J201</f>
        <v>3.5000000000000003E-2</v>
      </c>
      <c r="M201" s="43">
        <f>G201-I201</f>
        <v>1.1422299999999663E-4</v>
      </c>
      <c r="N201" s="43"/>
    </row>
    <row r="202" spans="1:14" s="31" customFormat="1" ht="12.75">
      <c r="A202" s="30"/>
      <c r="B202" s="67" t="s">
        <v>246</v>
      </c>
      <c r="C202" s="30">
        <v>1</v>
      </c>
      <c r="D202" s="30">
        <v>2022</v>
      </c>
      <c r="E202" s="137">
        <v>0.872206551</v>
      </c>
      <c r="F202" s="43">
        <v>0.17610000000000001</v>
      </c>
      <c r="G202" s="43">
        <v>0.83067290500000002</v>
      </c>
      <c r="H202" s="43"/>
      <c r="I202" s="43">
        <v>0.82432028999999996</v>
      </c>
      <c r="J202" s="43">
        <f t="shared" ref="J202:J209" si="27">F202</f>
        <v>0.17610000000000001</v>
      </c>
      <c r="K202" s="43">
        <f t="shared" ref="K202:L209" si="28">I202</f>
        <v>0.82432028999999996</v>
      </c>
      <c r="L202" s="43">
        <f t="shared" si="28"/>
        <v>0.17610000000000001</v>
      </c>
      <c r="M202" s="43">
        <f t="shared" ref="M202:M209" si="29">G202-I202</f>
        <v>6.3526150000000614E-3</v>
      </c>
      <c r="N202" s="43"/>
    </row>
    <row r="203" spans="1:14" s="31" customFormat="1" ht="12.75">
      <c r="A203" s="30"/>
      <c r="B203" s="67" t="s">
        <v>247</v>
      </c>
      <c r="C203" s="30">
        <v>1</v>
      </c>
      <c r="D203" s="30">
        <v>2022</v>
      </c>
      <c r="E203" s="137">
        <v>0.47780359500000003</v>
      </c>
      <c r="F203" s="43">
        <v>0.151</v>
      </c>
      <c r="G203" s="43">
        <v>0.45505104200000002</v>
      </c>
      <c r="H203" s="43"/>
      <c r="I203" s="43">
        <v>0.4052</v>
      </c>
      <c r="J203" s="43">
        <f t="shared" si="27"/>
        <v>0.151</v>
      </c>
      <c r="K203" s="43">
        <f t="shared" si="28"/>
        <v>0.4052</v>
      </c>
      <c r="L203" s="43">
        <f t="shared" si="28"/>
        <v>0.151</v>
      </c>
      <c r="M203" s="43">
        <f t="shared" si="29"/>
        <v>4.9851042000000012E-2</v>
      </c>
      <c r="N203" s="43"/>
    </row>
    <row r="204" spans="1:14" s="31" customFormat="1" ht="12.75">
      <c r="A204" s="30"/>
      <c r="B204" s="67" t="s">
        <v>248</v>
      </c>
      <c r="C204" s="30">
        <v>1</v>
      </c>
      <c r="D204" s="30">
        <v>2022</v>
      </c>
      <c r="E204" s="137">
        <v>0.53715378999999996</v>
      </c>
      <c r="F204" s="43">
        <v>0.16</v>
      </c>
      <c r="G204" s="43">
        <v>0.51157503699999995</v>
      </c>
      <c r="H204" s="43"/>
      <c r="I204" s="43">
        <v>0.46700000000000003</v>
      </c>
      <c r="J204" s="43">
        <f t="shared" si="27"/>
        <v>0.16</v>
      </c>
      <c r="K204" s="43">
        <f t="shared" si="28"/>
        <v>0.46700000000000003</v>
      </c>
      <c r="L204" s="43">
        <f t="shared" si="28"/>
        <v>0.16</v>
      </c>
      <c r="M204" s="43">
        <f t="shared" si="29"/>
        <v>4.4575036999999929E-2</v>
      </c>
      <c r="N204" s="43"/>
    </row>
    <row r="205" spans="1:14" s="31" customFormat="1" ht="12.75">
      <c r="A205" s="30"/>
      <c r="B205" s="67" t="s">
        <v>249</v>
      </c>
      <c r="C205" s="30">
        <v>1</v>
      </c>
      <c r="D205" s="30">
        <v>2022</v>
      </c>
      <c r="E205" s="137">
        <v>0.45102205000000001</v>
      </c>
      <c r="F205" s="43">
        <v>0.16</v>
      </c>
      <c r="G205" s="43">
        <v>0.42954480900000003</v>
      </c>
      <c r="H205" s="43"/>
      <c r="I205" s="43">
        <v>0.3886</v>
      </c>
      <c r="J205" s="43">
        <f t="shared" si="27"/>
        <v>0.16</v>
      </c>
      <c r="K205" s="43">
        <f t="shared" si="28"/>
        <v>0.3886</v>
      </c>
      <c r="L205" s="43">
        <f t="shared" si="28"/>
        <v>0.16</v>
      </c>
      <c r="M205" s="43">
        <f t="shared" si="29"/>
        <v>4.0944809000000026E-2</v>
      </c>
      <c r="N205" s="43"/>
    </row>
    <row r="206" spans="1:14" s="31" customFormat="1" ht="12.75">
      <c r="A206" s="30"/>
      <c r="B206" s="67" t="s">
        <v>250</v>
      </c>
      <c r="C206" s="30">
        <v>1</v>
      </c>
      <c r="D206" s="30">
        <v>2022</v>
      </c>
      <c r="E206" s="137">
        <v>0.47733015499999998</v>
      </c>
      <c r="F206" s="43">
        <v>0.112</v>
      </c>
      <c r="G206" s="43">
        <v>0.45460014700000001</v>
      </c>
      <c r="H206" s="43"/>
      <c r="I206" s="43">
        <v>0.41120000000000001</v>
      </c>
      <c r="J206" s="43">
        <f t="shared" si="27"/>
        <v>0.112</v>
      </c>
      <c r="K206" s="43">
        <f t="shared" si="28"/>
        <v>0.41120000000000001</v>
      </c>
      <c r="L206" s="43">
        <f t="shared" si="28"/>
        <v>0.112</v>
      </c>
      <c r="M206" s="43">
        <f t="shared" si="29"/>
        <v>4.3400147E-2</v>
      </c>
      <c r="N206" s="43"/>
    </row>
    <row r="207" spans="1:14" s="31" customFormat="1" ht="12.75">
      <c r="A207" s="30"/>
      <c r="B207" s="67" t="s">
        <v>251</v>
      </c>
      <c r="C207" s="30">
        <v>1</v>
      </c>
      <c r="D207" s="30">
        <v>2022</v>
      </c>
      <c r="E207" s="137">
        <v>0.49858801400000002</v>
      </c>
      <c r="F207" s="43">
        <v>0.152</v>
      </c>
      <c r="G207" s="43">
        <v>0.474845727</v>
      </c>
      <c r="H207" s="43"/>
      <c r="I207" s="43">
        <v>0.43390000000000001</v>
      </c>
      <c r="J207" s="43">
        <f t="shared" si="27"/>
        <v>0.152</v>
      </c>
      <c r="K207" s="43">
        <f t="shared" si="28"/>
        <v>0.43390000000000001</v>
      </c>
      <c r="L207" s="43">
        <f t="shared" si="28"/>
        <v>0.152</v>
      </c>
      <c r="M207" s="43">
        <f t="shared" si="29"/>
        <v>4.0945726999999987E-2</v>
      </c>
      <c r="N207" s="43"/>
    </row>
    <row r="208" spans="1:14" s="31" customFormat="1" ht="12.75">
      <c r="A208" s="30"/>
      <c r="B208" s="67" t="s">
        <v>252</v>
      </c>
      <c r="C208" s="30">
        <v>1</v>
      </c>
      <c r="D208" s="30">
        <v>2022</v>
      </c>
      <c r="E208" s="137">
        <v>0.635651246</v>
      </c>
      <c r="F208" s="43">
        <v>0.109</v>
      </c>
      <c r="G208" s="43">
        <v>0.60538213799999996</v>
      </c>
      <c r="H208" s="43"/>
      <c r="I208" s="43">
        <f>0.4103+0.19496302</f>
        <v>0.60526301999999998</v>
      </c>
      <c r="J208" s="43">
        <f t="shared" si="27"/>
        <v>0.109</v>
      </c>
      <c r="K208" s="43">
        <f t="shared" si="28"/>
        <v>0.60526301999999998</v>
      </c>
      <c r="L208" s="43">
        <f t="shared" si="28"/>
        <v>0.109</v>
      </c>
      <c r="M208" s="43">
        <f t="shared" si="29"/>
        <v>1.1911799999997363E-4</v>
      </c>
      <c r="N208" s="43"/>
    </row>
    <row r="209" spans="1:14" s="31" customFormat="1" ht="12.75">
      <c r="A209" s="30"/>
      <c r="B209" s="67" t="s">
        <v>253</v>
      </c>
      <c r="C209" s="30">
        <v>1</v>
      </c>
      <c r="D209" s="30">
        <v>2022</v>
      </c>
      <c r="E209" s="137">
        <v>0.369124324</v>
      </c>
      <c r="F209" s="43">
        <v>6.3899999999999998E-2</v>
      </c>
      <c r="G209" s="43">
        <v>0.35154697499999998</v>
      </c>
      <c r="H209" s="43"/>
      <c r="I209" s="43">
        <v>0.35151262999999999</v>
      </c>
      <c r="J209" s="43">
        <f t="shared" si="27"/>
        <v>6.3899999999999998E-2</v>
      </c>
      <c r="K209" s="43">
        <f t="shared" si="28"/>
        <v>0.35151262999999999</v>
      </c>
      <c r="L209" s="43">
        <f t="shared" si="28"/>
        <v>6.3899999999999998E-2</v>
      </c>
      <c r="M209" s="43">
        <f t="shared" si="29"/>
        <v>3.4344999999991188E-5</v>
      </c>
      <c r="N209" s="43"/>
    </row>
    <row r="210" spans="1:14" s="31" customFormat="1" ht="12.75">
      <c r="A210" s="30"/>
      <c r="B210" s="87" t="s">
        <v>254</v>
      </c>
      <c r="C210" s="30">
        <v>1</v>
      </c>
      <c r="D210" s="30">
        <v>2022</v>
      </c>
      <c r="E210" s="61">
        <v>0.20663726700000001</v>
      </c>
      <c r="F210" s="61">
        <v>0.14552792000000001</v>
      </c>
      <c r="G210" s="43"/>
      <c r="H210" s="43"/>
      <c r="I210" s="43"/>
      <c r="J210" s="43"/>
      <c r="K210" s="43"/>
      <c r="L210" s="43"/>
      <c r="M210" s="43"/>
      <c r="N210" s="43"/>
    </row>
    <row r="211" spans="1:14" s="31" customFormat="1" ht="12.75">
      <c r="A211" s="30"/>
      <c r="B211" s="87" t="s">
        <v>255</v>
      </c>
      <c r="C211" s="30">
        <v>1</v>
      </c>
      <c r="D211" s="30">
        <v>2022</v>
      </c>
      <c r="E211" s="61">
        <v>7.7452099999999996E-2</v>
      </c>
      <c r="F211" s="61">
        <v>5.8908509999999997E-2</v>
      </c>
      <c r="G211" s="43"/>
      <c r="H211" s="43"/>
      <c r="I211" s="43"/>
      <c r="J211" s="43"/>
      <c r="K211" s="43"/>
      <c r="L211" s="43"/>
      <c r="M211" s="43"/>
      <c r="N211" s="43"/>
    </row>
    <row r="212" spans="1:14" s="31" customFormat="1" ht="12.75">
      <c r="A212" s="30"/>
      <c r="B212" s="87" t="s">
        <v>256</v>
      </c>
      <c r="C212" s="30">
        <v>1</v>
      </c>
      <c r="D212" s="30">
        <v>2022</v>
      </c>
      <c r="E212" s="61">
        <v>6.2058809E-2</v>
      </c>
      <c r="F212" s="61">
        <v>4.7226560000000001E-2</v>
      </c>
      <c r="G212" s="43"/>
      <c r="H212" s="43"/>
      <c r="I212" s="43"/>
      <c r="J212" s="43"/>
      <c r="K212" s="43"/>
      <c r="L212" s="43"/>
      <c r="M212" s="43"/>
      <c r="N212" s="43"/>
    </row>
    <row r="213" spans="1:14" s="31" customFormat="1" ht="12.75">
      <c r="A213" s="30"/>
      <c r="B213" s="87" t="s">
        <v>257</v>
      </c>
      <c r="C213" s="30">
        <v>1</v>
      </c>
      <c r="D213" s="30">
        <v>2022</v>
      </c>
      <c r="E213" s="61">
        <v>0.110845973</v>
      </c>
      <c r="F213" s="61">
        <v>8.4275310000000006E-2</v>
      </c>
      <c r="G213" s="43"/>
      <c r="H213" s="43"/>
      <c r="I213" s="43"/>
      <c r="J213" s="43"/>
      <c r="K213" s="43"/>
      <c r="L213" s="43"/>
      <c r="M213" s="43"/>
      <c r="N213" s="43"/>
    </row>
    <row r="214" spans="1:14" s="31" customFormat="1" ht="12.75">
      <c r="A214" s="30"/>
      <c r="B214" s="67" t="s">
        <v>258</v>
      </c>
      <c r="C214" s="30">
        <v>1</v>
      </c>
      <c r="D214" s="30">
        <v>2022</v>
      </c>
      <c r="E214" s="33">
        <v>0.39615317500000002</v>
      </c>
      <c r="F214" s="30">
        <v>0.1</v>
      </c>
      <c r="G214" s="33">
        <v>0.4048718</v>
      </c>
      <c r="H214" s="30"/>
      <c r="I214" s="33">
        <v>0.36268699999999998</v>
      </c>
      <c r="J214" s="30">
        <v>0.1</v>
      </c>
      <c r="K214" s="33">
        <v>0.36268699999999998</v>
      </c>
      <c r="L214" s="33">
        <v>0.1</v>
      </c>
      <c r="M214" s="78">
        <f>G214-K214</f>
        <v>4.2184800000000022E-2</v>
      </c>
      <c r="N214" s="43"/>
    </row>
    <row r="215" spans="1:14" s="31" customFormat="1" ht="12.75">
      <c r="A215" s="30"/>
      <c r="B215" s="67" t="s">
        <v>259</v>
      </c>
      <c r="C215" s="30">
        <v>1</v>
      </c>
      <c r="D215" s="30">
        <v>2022</v>
      </c>
      <c r="E215" s="33">
        <v>0.36498818900000002</v>
      </c>
      <c r="F215" s="30">
        <v>0.1</v>
      </c>
      <c r="G215" s="33">
        <v>0.3772432</v>
      </c>
      <c r="H215" s="30"/>
      <c r="I215" s="33">
        <v>0.34118199999999999</v>
      </c>
      <c r="J215" s="30">
        <v>0.1</v>
      </c>
      <c r="K215" s="33">
        <v>0.34118199999999999</v>
      </c>
      <c r="L215" s="30">
        <v>0.1</v>
      </c>
      <c r="M215" s="78">
        <f t="shared" ref="M215:M222" si="30">G215-K215</f>
        <v>3.6061200000000015E-2</v>
      </c>
      <c r="N215" s="43"/>
    </row>
    <row r="216" spans="1:14" s="31" customFormat="1" ht="12.75">
      <c r="A216" s="30"/>
      <c r="B216" s="67" t="s">
        <v>260</v>
      </c>
      <c r="C216" s="30">
        <v>1</v>
      </c>
      <c r="D216" s="30">
        <v>2022</v>
      </c>
      <c r="E216" s="33">
        <v>0.36613865400000001</v>
      </c>
      <c r="F216" s="30">
        <v>0.1</v>
      </c>
      <c r="G216" s="33">
        <v>0.37832480000000002</v>
      </c>
      <c r="H216" s="30"/>
      <c r="I216" s="33">
        <v>0.335762</v>
      </c>
      <c r="J216" s="30">
        <v>0.1</v>
      </c>
      <c r="K216" s="33">
        <v>0.335762</v>
      </c>
      <c r="L216" s="30">
        <v>0.1</v>
      </c>
      <c r="M216" s="78">
        <f t="shared" si="30"/>
        <v>4.2562800000000012E-2</v>
      </c>
      <c r="N216" s="43"/>
    </row>
    <row r="217" spans="1:14" s="31" customFormat="1" ht="12.75">
      <c r="A217" s="30"/>
      <c r="B217" s="67" t="s">
        <v>261</v>
      </c>
      <c r="C217" s="30">
        <v>1</v>
      </c>
      <c r="D217" s="30">
        <v>2022</v>
      </c>
      <c r="E217" s="33">
        <v>0.38875889699999999</v>
      </c>
      <c r="F217" s="30">
        <v>0.1</v>
      </c>
      <c r="G217" s="33">
        <v>0.4035416</v>
      </c>
      <c r="H217" s="30"/>
      <c r="I217" s="33">
        <v>0.35735</v>
      </c>
      <c r="J217" s="30">
        <v>0.1</v>
      </c>
      <c r="K217" s="33">
        <v>0.35735</v>
      </c>
      <c r="L217" s="30">
        <v>0.1</v>
      </c>
      <c r="M217" s="78">
        <f t="shared" si="30"/>
        <v>4.6191599999999999E-2</v>
      </c>
      <c r="N217" s="43"/>
    </row>
    <row r="218" spans="1:14" s="31" customFormat="1" ht="12.75">
      <c r="A218" s="30"/>
      <c r="B218" s="79" t="s">
        <v>262</v>
      </c>
      <c r="C218" s="30">
        <v>1</v>
      </c>
      <c r="D218" s="30">
        <v>2022</v>
      </c>
      <c r="E218" s="33">
        <v>0.29766516399999998</v>
      </c>
      <c r="F218" s="30">
        <v>0.1</v>
      </c>
      <c r="G218" s="33">
        <v>0.30458279999999999</v>
      </c>
      <c r="H218" s="30"/>
      <c r="I218" s="33">
        <v>0.27260400000000001</v>
      </c>
      <c r="J218" s="30">
        <v>0.1</v>
      </c>
      <c r="K218" s="33">
        <v>0.27260400000000001</v>
      </c>
      <c r="L218" s="30">
        <v>0.1</v>
      </c>
      <c r="M218" s="78">
        <f t="shared" si="30"/>
        <v>3.1978799999999974E-2</v>
      </c>
      <c r="N218" s="43"/>
    </row>
    <row r="219" spans="1:14" s="31" customFormat="1" ht="12.75">
      <c r="A219" s="30"/>
      <c r="B219" s="67" t="s">
        <v>263</v>
      </c>
      <c r="C219" s="30">
        <v>1</v>
      </c>
      <c r="D219" s="30">
        <v>2022</v>
      </c>
      <c r="E219" s="33">
        <v>0.11449292799999999</v>
      </c>
      <c r="F219" s="30">
        <v>0.5</v>
      </c>
      <c r="G219" s="33">
        <v>0.11953800000000001</v>
      </c>
      <c r="H219" s="30"/>
      <c r="I219" s="33">
        <v>0.11348999999999999</v>
      </c>
      <c r="J219" s="30">
        <v>0.5</v>
      </c>
      <c r="K219" s="33">
        <v>0.11348999999999999</v>
      </c>
      <c r="L219" s="30">
        <v>0.5</v>
      </c>
      <c r="M219" s="78">
        <f t="shared" si="30"/>
        <v>6.0480000000000117E-3</v>
      </c>
      <c r="N219" s="43"/>
    </row>
    <row r="220" spans="1:14" s="31" customFormat="1" ht="12.75">
      <c r="A220" s="30"/>
      <c r="B220" s="67" t="s">
        <v>264</v>
      </c>
      <c r="C220" s="30">
        <v>1</v>
      </c>
      <c r="D220" s="30">
        <v>2022</v>
      </c>
      <c r="E220" s="33">
        <v>0.13632792299999999</v>
      </c>
      <c r="F220" s="30">
        <v>0.5</v>
      </c>
      <c r="G220" s="33">
        <v>9.2010400000000006E-2</v>
      </c>
      <c r="H220" s="30"/>
      <c r="I220" s="33">
        <v>0.12820300000000001</v>
      </c>
      <c r="J220" s="30">
        <v>0.5</v>
      </c>
      <c r="K220" s="33">
        <v>8.4699999999999998E-2</v>
      </c>
      <c r="L220" s="48">
        <v>3.4700000000000002E-2</v>
      </c>
      <c r="M220" s="78">
        <f>G220-L220</f>
        <v>5.7310400000000004E-2</v>
      </c>
      <c r="N220" s="43"/>
    </row>
    <row r="221" spans="1:14" s="31" customFormat="1" ht="12.75">
      <c r="A221" s="30"/>
      <c r="B221" s="67" t="s">
        <v>265</v>
      </c>
      <c r="C221" s="30">
        <v>1</v>
      </c>
      <c r="D221" s="30">
        <v>2022</v>
      </c>
      <c r="E221" s="33">
        <v>9.1490196999999995E-2</v>
      </c>
      <c r="F221" s="33">
        <v>0.34699999999999998</v>
      </c>
      <c r="G221" s="33">
        <v>9.2010400000000006E-2</v>
      </c>
      <c r="H221" s="30"/>
      <c r="I221" s="33">
        <v>8.4699999999999998E-2</v>
      </c>
      <c r="J221" s="33">
        <v>0.34699999999999998</v>
      </c>
      <c r="K221" s="33">
        <v>8.4699999999999998E-2</v>
      </c>
      <c r="L221" s="33">
        <v>0.34699999999999998</v>
      </c>
      <c r="M221" s="78">
        <f t="shared" si="30"/>
        <v>7.3104000000000086E-3</v>
      </c>
      <c r="N221" s="43"/>
    </row>
    <row r="222" spans="1:14" s="31" customFormat="1" ht="12.75">
      <c r="A222" s="30"/>
      <c r="B222" s="67" t="s">
        <v>266</v>
      </c>
      <c r="C222" s="30">
        <v>1</v>
      </c>
      <c r="D222" s="30">
        <v>2022</v>
      </c>
      <c r="E222" s="33">
        <v>0.136210365</v>
      </c>
      <c r="F222" s="30">
        <v>0.5</v>
      </c>
      <c r="G222" s="33">
        <v>0.1359582</v>
      </c>
      <c r="H222" s="30"/>
      <c r="I222" s="33">
        <v>0.127113</v>
      </c>
      <c r="J222" s="30">
        <v>0.5</v>
      </c>
      <c r="K222" s="33">
        <v>0.127113</v>
      </c>
      <c r="L222" s="30">
        <v>0.5</v>
      </c>
      <c r="M222" s="78">
        <f t="shared" si="30"/>
        <v>8.8451999999999975E-3</v>
      </c>
      <c r="N222" s="43"/>
    </row>
    <row r="223" spans="1:14" s="31" customFormat="1" ht="12.75">
      <c r="A223" s="30"/>
      <c r="B223" s="67" t="s">
        <v>267</v>
      </c>
      <c r="C223" s="30">
        <v>1</v>
      </c>
      <c r="D223" s="30">
        <v>2022</v>
      </c>
      <c r="E223" s="80">
        <v>0.47904940000000001</v>
      </c>
      <c r="F223" s="80">
        <v>0.1</v>
      </c>
      <c r="G223" s="80">
        <v>0.45623675000000002</v>
      </c>
      <c r="H223" s="81"/>
      <c r="I223" s="80">
        <v>0.41559000000000001</v>
      </c>
      <c r="J223" s="80">
        <v>0.1</v>
      </c>
      <c r="K223" s="80">
        <v>0.41559000000000001</v>
      </c>
      <c r="L223" s="80">
        <v>0.1</v>
      </c>
      <c r="M223" s="80">
        <v>4.0646750000000002E-2</v>
      </c>
      <c r="N223" s="43"/>
    </row>
    <row r="224" spans="1:14" s="31" customFormat="1" ht="12.75">
      <c r="A224" s="30"/>
      <c r="B224" s="67" t="s">
        <v>268</v>
      </c>
      <c r="C224" s="30">
        <v>1</v>
      </c>
      <c r="D224" s="30">
        <v>2022</v>
      </c>
      <c r="E224" s="80">
        <v>0.38293010599999999</v>
      </c>
      <c r="F224" s="80">
        <v>0.1</v>
      </c>
      <c r="G224" s="80">
        <v>0.36469460999999997</v>
      </c>
      <c r="H224" s="81"/>
      <c r="I224" s="80">
        <v>0.33861000000000002</v>
      </c>
      <c r="J224" s="80">
        <v>0.1</v>
      </c>
      <c r="K224" s="80">
        <v>0.33861000000000002</v>
      </c>
      <c r="L224" s="80">
        <v>0.1</v>
      </c>
      <c r="M224" s="80">
        <v>2.6084610000000001E-2</v>
      </c>
      <c r="N224" s="43"/>
    </row>
    <row r="225" spans="1:14" s="31" customFormat="1" ht="12.75">
      <c r="A225" s="30"/>
      <c r="B225" s="67" t="s">
        <v>269</v>
      </c>
      <c r="C225" s="30">
        <v>1</v>
      </c>
      <c r="D225" s="30">
        <v>2022</v>
      </c>
      <c r="E225" s="80">
        <v>0.40564652899999998</v>
      </c>
      <c r="F225" s="80">
        <v>0.1</v>
      </c>
      <c r="G225" s="80">
        <v>0.38632999000000001</v>
      </c>
      <c r="H225" s="81"/>
      <c r="I225" s="80">
        <v>0.35303499999999999</v>
      </c>
      <c r="J225" s="80">
        <v>0.1</v>
      </c>
      <c r="K225" s="80">
        <v>0.35303499999999999</v>
      </c>
      <c r="L225" s="80">
        <v>0.1</v>
      </c>
      <c r="M225" s="80">
        <v>3.3294989999999997E-2</v>
      </c>
      <c r="N225" s="43"/>
    </row>
    <row r="226" spans="1:14" s="31" customFormat="1" ht="12.75">
      <c r="A226" s="30"/>
      <c r="B226" s="67" t="s">
        <v>270</v>
      </c>
      <c r="C226" s="30">
        <v>1</v>
      </c>
      <c r="D226" s="30">
        <v>2022</v>
      </c>
      <c r="E226" s="80">
        <v>0.45560679799999998</v>
      </c>
      <c r="F226" s="80">
        <v>0.1</v>
      </c>
      <c r="G226" s="80">
        <v>0.43358626</v>
      </c>
      <c r="H226" s="81"/>
      <c r="I226" s="80">
        <v>0.40149299999999999</v>
      </c>
      <c r="J226" s="80">
        <v>0.1</v>
      </c>
      <c r="K226" s="80">
        <v>0.40149299999999999</v>
      </c>
      <c r="L226" s="80">
        <v>0.1</v>
      </c>
      <c r="M226" s="80">
        <v>3.2093259999999998E-2</v>
      </c>
      <c r="N226" s="43"/>
    </row>
    <row r="227" spans="1:14" s="31" customFormat="1" ht="12.75">
      <c r="A227" s="30"/>
      <c r="B227" s="67" t="s">
        <v>271</v>
      </c>
      <c r="C227" s="30">
        <v>1</v>
      </c>
      <c r="D227" s="30">
        <v>2022</v>
      </c>
      <c r="E227" s="80">
        <v>0.41846704099999998</v>
      </c>
      <c r="F227" s="80">
        <v>0.1</v>
      </c>
      <c r="G227" s="80">
        <v>0.39853897999999999</v>
      </c>
      <c r="H227" s="81"/>
      <c r="I227" s="80">
        <v>0.36022599999999999</v>
      </c>
      <c r="J227" s="80">
        <v>0.1</v>
      </c>
      <c r="K227" s="80">
        <v>0.36022599999999999</v>
      </c>
      <c r="L227" s="80">
        <v>0.1</v>
      </c>
      <c r="M227" s="80">
        <v>3.8313979999999997E-2</v>
      </c>
      <c r="N227" s="43"/>
    </row>
    <row r="228" spans="1:14" s="31" customFormat="1" ht="12.75">
      <c r="A228" s="30"/>
      <c r="B228" s="67" t="s">
        <v>272</v>
      </c>
      <c r="C228" s="30">
        <v>1</v>
      </c>
      <c r="D228" s="30">
        <v>2022</v>
      </c>
      <c r="E228" s="80">
        <v>0.41798691199999999</v>
      </c>
      <c r="F228" s="80">
        <v>0.1</v>
      </c>
      <c r="G228" s="80">
        <v>0.39808246000000003</v>
      </c>
      <c r="H228" s="81"/>
      <c r="I228" s="80">
        <v>0.36033399999999999</v>
      </c>
      <c r="J228" s="80">
        <v>0.1</v>
      </c>
      <c r="K228" s="80">
        <v>0.36033399999999999</v>
      </c>
      <c r="L228" s="80">
        <v>0.1</v>
      </c>
      <c r="M228" s="80">
        <v>3.7748459999999998E-2</v>
      </c>
      <c r="N228" s="43"/>
    </row>
    <row r="229" spans="1:14" s="31" customFormat="1" ht="12.75">
      <c r="A229" s="30"/>
      <c r="B229" s="67" t="s">
        <v>273</v>
      </c>
      <c r="C229" s="30">
        <v>1</v>
      </c>
      <c r="D229" s="30">
        <v>2022</v>
      </c>
      <c r="E229" s="80">
        <v>0.42900797200000002</v>
      </c>
      <c r="F229" s="80">
        <v>0.16</v>
      </c>
      <c r="G229" s="80">
        <v>0.40857900000000003</v>
      </c>
      <c r="H229" s="81"/>
      <c r="I229" s="80">
        <v>0.36616500000000002</v>
      </c>
      <c r="J229" s="80">
        <v>0.16</v>
      </c>
      <c r="K229" s="80">
        <v>0.36616500000000002</v>
      </c>
      <c r="L229" s="80">
        <v>0.16</v>
      </c>
      <c r="M229" s="80">
        <v>4.2414E-2</v>
      </c>
      <c r="N229" s="43"/>
    </row>
    <row r="230" spans="1:14" s="31" customFormat="1" ht="12.75">
      <c r="A230" s="30"/>
      <c r="B230" s="67" t="s">
        <v>274</v>
      </c>
      <c r="C230" s="30">
        <v>1</v>
      </c>
      <c r="D230" s="30">
        <v>2022</v>
      </c>
      <c r="E230" s="80">
        <v>0.39955421200000002</v>
      </c>
      <c r="F230" s="80">
        <v>0.1</v>
      </c>
      <c r="G230" s="80">
        <v>0.38052771000000002</v>
      </c>
      <c r="H230" s="81"/>
      <c r="I230" s="80">
        <v>0.34808099999999997</v>
      </c>
      <c r="J230" s="80">
        <v>0.1</v>
      </c>
      <c r="K230" s="80">
        <v>0.34808099999999997</v>
      </c>
      <c r="L230" s="80">
        <v>0.1</v>
      </c>
      <c r="M230" s="80">
        <v>3.2446709999999997E-2</v>
      </c>
      <c r="N230" s="43"/>
    </row>
    <row r="231" spans="1:14" s="31" customFormat="1" ht="12.75">
      <c r="A231" s="30"/>
      <c r="B231" s="67" t="s">
        <v>275</v>
      </c>
      <c r="C231" s="30">
        <v>1</v>
      </c>
      <c r="D231" s="30">
        <v>2022</v>
      </c>
      <c r="E231" s="82">
        <v>0.47613813700000002</v>
      </c>
      <c r="F231" s="80">
        <v>0.1</v>
      </c>
      <c r="G231" s="80">
        <v>0.45346479000000001</v>
      </c>
      <c r="H231" s="81"/>
      <c r="I231" s="80">
        <v>0.31168699999999999</v>
      </c>
      <c r="J231" s="80">
        <v>0.1</v>
      </c>
      <c r="K231" s="80">
        <v>0.31168699999999999</v>
      </c>
      <c r="L231" s="80">
        <v>0.1</v>
      </c>
      <c r="M231" s="80">
        <v>4.17779E-2</v>
      </c>
      <c r="N231" s="43"/>
    </row>
    <row r="232" spans="1:14" s="31" customFormat="1" ht="12.75">
      <c r="A232" s="30"/>
      <c r="B232" s="67" t="s">
        <v>276</v>
      </c>
      <c r="C232" s="30">
        <v>1</v>
      </c>
      <c r="D232" s="30">
        <v>2022</v>
      </c>
      <c r="E232" s="80">
        <v>0.32175330600000002</v>
      </c>
      <c r="F232" s="80">
        <v>7.4999999999999997E-2</v>
      </c>
      <c r="G232" s="80">
        <v>0.30643134</v>
      </c>
      <c r="H232" s="81"/>
      <c r="I232" s="80">
        <v>0.20131599999999999</v>
      </c>
      <c r="J232" s="83">
        <v>7.4999999999999997E-2</v>
      </c>
      <c r="K232" s="80">
        <v>0.20131599999999999</v>
      </c>
      <c r="L232" s="83">
        <v>7.4999999999999997E-2</v>
      </c>
      <c r="M232" s="80">
        <v>0.10504534</v>
      </c>
      <c r="N232" s="43"/>
    </row>
    <row r="233" spans="1:14" s="31" customFormat="1" ht="12.75">
      <c r="A233" s="30"/>
      <c r="B233" s="67" t="s">
        <v>277</v>
      </c>
      <c r="C233" s="30">
        <v>1</v>
      </c>
      <c r="D233" s="30">
        <v>2022</v>
      </c>
      <c r="E233" s="80">
        <v>0.47561603800000002</v>
      </c>
      <c r="F233" s="80">
        <v>0.1</v>
      </c>
      <c r="G233" s="80">
        <v>0.45296707000000003</v>
      </c>
      <c r="H233" s="81"/>
      <c r="I233" s="80">
        <v>0.29716700000000001</v>
      </c>
      <c r="J233" s="80">
        <v>0.1</v>
      </c>
      <c r="K233" s="80">
        <v>0.29716700000000001</v>
      </c>
      <c r="L233" s="80">
        <v>0.1</v>
      </c>
      <c r="M233" s="80">
        <v>0.15573007</v>
      </c>
      <c r="N233" s="43"/>
    </row>
    <row r="234" spans="1:14" s="31" customFormat="1" ht="12.75">
      <c r="A234" s="30"/>
      <c r="B234" s="67" t="s">
        <v>278</v>
      </c>
      <c r="C234" s="30">
        <v>1</v>
      </c>
      <c r="D234" s="30">
        <v>2022</v>
      </c>
      <c r="E234" s="80">
        <v>0.38529260100000001</v>
      </c>
      <c r="F234" s="80">
        <v>2.5000000000000001E-2</v>
      </c>
      <c r="G234" s="80">
        <v>0.3668575</v>
      </c>
      <c r="H234" s="81"/>
      <c r="I234" s="80">
        <v>0.24315000000000001</v>
      </c>
      <c r="J234" s="83">
        <v>2.5000000000000001E-2</v>
      </c>
      <c r="K234" s="80">
        <v>0.24315000000000001</v>
      </c>
      <c r="L234" s="83">
        <v>2.5000000000000001E-2</v>
      </c>
      <c r="M234" s="80">
        <v>0.1237075</v>
      </c>
      <c r="N234" s="43"/>
    </row>
    <row r="235" spans="1:14" s="31" customFormat="1" ht="12.75">
      <c r="A235" s="30"/>
      <c r="B235" s="68" t="s">
        <v>279</v>
      </c>
      <c r="C235" s="30">
        <v>1</v>
      </c>
      <c r="D235" s="30">
        <v>2022</v>
      </c>
      <c r="E235" s="43">
        <f>459024826/1000000000</f>
        <v>0.459024826</v>
      </c>
      <c r="F235" s="61">
        <f>100000000/1000000000</f>
        <v>0.1</v>
      </c>
      <c r="G235" s="84"/>
      <c r="H235" s="85"/>
      <c r="I235" s="84">
        <v>0.35</v>
      </c>
      <c r="J235" s="61">
        <f>F235</f>
        <v>0.1</v>
      </c>
      <c r="K235" s="84">
        <v>0.35</v>
      </c>
      <c r="L235" s="61">
        <v>0.1</v>
      </c>
      <c r="M235" s="84">
        <f>+E235-K235</f>
        <v>0.10902482600000002</v>
      </c>
      <c r="N235" s="43"/>
    </row>
    <row r="236" spans="1:14" s="31" customFormat="1" ht="12.75">
      <c r="A236" s="30"/>
      <c r="B236" s="68" t="s">
        <v>280</v>
      </c>
      <c r="C236" s="30">
        <v>1</v>
      </c>
      <c r="D236" s="30">
        <v>2022</v>
      </c>
      <c r="E236" s="43">
        <f>433194850/1000000000</f>
        <v>0.43319485000000002</v>
      </c>
      <c r="F236" s="61">
        <f>100000000/1000000000</f>
        <v>0.1</v>
      </c>
      <c r="G236" s="84"/>
      <c r="H236" s="85"/>
      <c r="I236" s="84">
        <v>0.3</v>
      </c>
      <c r="J236" s="61">
        <f t="shared" ref="J236:J241" si="31">F236</f>
        <v>0.1</v>
      </c>
      <c r="K236" s="84">
        <v>0.3</v>
      </c>
      <c r="L236" s="61">
        <v>0.1</v>
      </c>
      <c r="M236" s="84">
        <f t="shared" ref="M236:M244" si="32">+E236-K236</f>
        <v>0.13319485000000003</v>
      </c>
      <c r="N236" s="43"/>
    </row>
    <row r="237" spans="1:14" s="31" customFormat="1" ht="12.75">
      <c r="A237" s="30"/>
      <c r="B237" s="69" t="s">
        <v>281</v>
      </c>
      <c r="C237" s="30">
        <v>1</v>
      </c>
      <c r="D237" s="30">
        <v>2022</v>
      </c>
      <c r="E237" s="43">
        <f>437438097/1000000000</f>
        <v>0.43743809700000003</v>
      </c>
      <c r="F237" s="61">
        <f t="shared" ref="F237:F239" si="33">100000000/1000000000</f>
        <v>0.1</v>
      </c>
      <c r="G237" s="84"/>
      <c r="H237" s="85"/>
      <c r="I237" s="84">
        <v>0.36</v>
      </c>
      <c r="J237" s="61">
        <f t="shared" si="31"/>
        <v>0.1</v>
      </c>
      <c r="K237" s="84">
        <v>0.36</v>
      </c>
      <c r="L237" s="61">
        <v>0.1</v>
      </c>
      <c r="M237" s="84">
        <f t="shared" si="32"/>
        <v>7.7438097000000039E-2</v>
      </c>
      <c r="N237" s="43"/>
    </row>
    <row r="238" spans="1:14" s="31" customFormat="1" ht="12.75">
      <c r="A238" s="30"/>
      <c r="B238" s="68" t="s">
        <v>282</v>
      </c>
      <c r="C238" s="30">
        <v>1</v>
      </c>
      <c r="D238" s="30">
        <v>2022</v>
      </c>
      <c r="E238" s="43">
        <f>501555966/1000000000</f>
        <v>0.50155596599999996</v>
      </c>
      <c r="F238" s="61">
        <f t="shared" si="33"/>
        <v>0.1</v>
      </c>
      <c r="G238" s="84"/>
      <c r="H238" s="85"/>
      <c r="I238" s="84">
        <v>0.41</v>
      </c>
      <c r="J238" s="61">
        <f t="shared" si="31"/>
        <v>0.1</v>
      </c>
      <c r="K238" s="84">
        <v>0.41</v>
      </c>
      <c r="L238" s="61">
        <v>0.1</v>
      </c>
      <c r="M238" s="84">
        <f t="shared" si="32"/>
        <v>9.1555965999999989E-2</v>
      </c>
      <c r="N238" s="43"/>
    </row>
    <row r="239" spans="1:14" s="31" customFormat="1" ht="12.75">
      <c r="A239" s="30"/>
      <c r="B239" s="68" t="s">
        <v>283</v>
      </c>
      <c r="C239" s="30">
        <v>1</v>
      </c>
      <c r="D239" s="30">
        <v>2022</v>
      </c>
      <c r="E239" s="43">
        <f>420774894/1000000000</f>
        <v>0.42077489400000001</v>
      </c>
      <c r="F239" s="61">
        <f t="shared" si="33"/>
        <v>0.1</v>
      </c>
      <c r="G239" s="84"/>
      <c r="H239" s="85"/>
      <c r="I239" s="84">
        <v>0.32</v>
      </c>
      <c r="J239" s="61">
        <f t="shared" si="31"/>
        <v>0.1</v>
      </c>
      <c r="K239" s="84">
        <v>0.32</v>
      </c>
      <c r="L239" s="61">
        <v>0.1</v>
      </c>
      <c r="M239" s="84">
        <f t="shared" si="32"/>
        <v>0.100774894</v>
      </c>
      <c r="N239" s="43"/>
    </row>
    <row r="240" spans="1:14" s="31" customFormat="1" ht="12.75">
      <c r="A240" s="30"/>
      <c r="B240" s="68" t="s">
        <v>284</v>
      </c>
      <c r="C240" s="30">
        <v>1</v>
      </c>
      <c r="D240" s="30">
        <v>2022</v>
      </c>
      <c r="E240" s="43">
        <f>420774894/1000000000</f>
        <v>0.42077489400000001</v>
      </c>
      <c r="F240" s="61">
        <f>160000000/1000000000</f>
        <v>0.16</v>
      </c>
      <c r="G240" s="84"/>
      <c r="H240" s="85"/>
      <c r="I240" s="84">
        <v>0.359989</v>
      </c>
      <c r="J240" s="61">
        <f t="shared" si="31"/>
        <v>0.16</v>
      </c>
      <c r="K240" s="84">
        <v>0.359989</v>
      </c>
      <c r="L240" s="61">
        <v>0.16</v>
      </c>
      <c r="M240" s="84">
        <f t="shared" si="32"/>
        <v>6.0785894000000007E-2</v>
      </c>
      <c r="N240" s="43"/>
    </row>
    <row r="241" spans="1:14" s="31" customFormat="1" ht="12.75">
      <c r="A241" s="30"/>
      <c r="B241" s="70" t="s">
        <v>285</v>
      </c>
      <c r="C241" s="30">
        <v>1</v>
      </c>
      <c r="D241" s="30">
        <v>2022</v>
      </c>
      <c r="E241" s="43">
        <f>300169607/1000000000</f>
        <v>0.300169607</v>
      </c>
      <c r="F241" s="61">
        <v>2.3E-2</v>
      </c>
      <c r="G241" s="84"/>
      <c r="H241" s="85"/>
      <c r="I241" s="84">
        <v>0.107</v>
      </c>
      <c r="J241" s="61">
        <f t="shared" si="31"/>
        <v>2.3E-2</v>
      </c>
      <c r="K241" s="84">
        <v>0.107</v>
      </c>
      <c r="L241" s="61">
        <v>2.3E-2</v>
      </c>
      <c r="M241" s="84">
        <f t="shared" si="32"/>
        <v>0.19316960700000002</v>
      </c>
      <c r="N241" s="43"/>
    </row>
    <row r="242" spans="1:14" s="31" customFormat="1" ht="12.75">
      <c r="A242" s="30"/>
      <c r="B242" s="70" t="s">
        <v>286</v>
      </c>
      <c r="C242" s="30">
        <v>1</v>
      </c>
      <c r="D242" s="30">
        <v>2022</v>
      </c>
      <c r="E242" s="43">
        <f>710950677/1000000000</f>
        <v>0.71095067700000003</v>
      </c>
      <c r="F242" s="61">
        <v>0.18240000000000001</v>
      </c>
      <c r="G242" s="84"/>
      <c r="H242" s="85"/>
      <c r="I242" s="84">
        <v>0.25540000000000002</v>
      </c>
      <c r="J242" s="61">
        <f>F242</f>
        <v>0.18240000000000001</v>
      </c>
      <c r="K242" s="84">
        <v>0.25540000000000002</v>
      </c>
      <c r="L242" s="61">
        <v>0.18240000000000001</v>
      </c>
      <c r="M242" s="84">
        <f t="shared" si="32"/>
        <v>0.45555067700000001</v>
      </c>
      <c r="N242" s="43"/>
    </row>
    <row r="243" spans="1:14" s="31" customFormat="1" ht="12.75">
      <c r="A243" s="30"/>
      <c r="B243" s="71" t="s">
        <v>287</v>
      </c>
      <c r="C243" s="30">
        <v>1</v>
      </c>
      <c r="D243" s="30">
        <v>2022</v>
      </c>
      <c r="E243" s="43">
        <f>167399323/1000000000</f>
        <v>0.16739932299999999</v>
      </c>
      <c r="F243" s="61">
        <v>3.9199999999999999E-2</v>
      </c>
      <c r="G243" s="84"/>
      <c r="H243" s="85"/>
      <c r="I243" s="84">
        <v>0.159</v>
      </c>
      <c r="J243" s="61">
        <f t="shared" ref="J243:J244" si="34">F243</f>
        <v>3.9199999999999999E-2</v>
      </c>
      <c r="K243" s="84">
        <v>0.159</v>
      </c>
      <c r="L243" s="61">
        <v>3.9199999999999999E-2</v>
      </c>
      <c r="M243" s="84">
        <f t="shared" si="32"/>
        <v>8.3993229999999863E-3</v>
      </c>
      <c r="N243" s="43"/>
    </row>
    <row r="244" spans="1:14" s="31" customFormat="1" ht="12.75">
      <c r="A244" s="30"/>
      <c r="B244" s="70" t="s">
        <v>288</v>
      </c>
      <c r="C244" s="30">
        <v>1</v>
      </c>
      <c r="D244" s="30">
        <v>2022</v>
      </c>
      <c r="E244" s="43">
        <f>123232868/1000000000</f>
        <v>0.123232868</v>
      </c>
      <c r="F244" s="61">
        <v>2.7E-2</v>
      </c>
      <c r="G244" s="43"/>
      <c r="H244" s="43"/>
      <c r="I244" s="43">
        <v>6.3E-2</v>
      </c>
      <c r="J244" s="61">
        <f t="shared" si="34"/>
        <v>2.7E-2</v>
      </c>
      <c r="K244" s="43">
        <v>6.3E-2</v>
      </c>
      <c r="L244" s="61">
        <v>2.7E-2</v>
      </c>
      <c r="M244" s="84">
        <f t="shared" si="32"/>
        <v>6.0232867999999995E-2</v>
      </c>
      <c r="N244" s="43"/>
    </row>
    <row r="245" spans="1:14" s="31" customFormat="1" ht="12.75">
      <c r="A245" s="30"/>
      <c r="B245" s="138" t="s">
        <v>162</v>
      </c>
      <c r="C245" s="30">
        <v>1</v>
      </c>
      <c r="D245" s="30">
        <v>2022</v>
      </c>
      <c r="E245" s="139">
        <v>0.46300000000000002</v>
      </c>
      <c r="F245" s="139">
        <v>0.17100000000000001</v>
      </c>
      <c r="G245" s="139">
        <v>0.46300000000000002</v>
      </c>
      <c r="H245" s="139">
        <v>0</v>
      </c>
      <c r="I245" s="139">
        <v>0.308</v>
      </c>
      <c r="J245" s="139">
        <v>0.17100000000000001</v>
      </c>
      <c r="K245" s="139">
        <v>0.308</v>
      </c>
      <c r="L245" s="139">
        <v>0.17100000000000001</v>
      </c>
      <c r="M245" s="84">
        <f>+G245-K245</f>
        <v>0.15500000000000003</v>
      </c>
      <c r="N245" s="43"/>
    </row>
    <row r="246" spans="1:14" s="31" customFormat="1" ht="12.75">
      <c r="A246" s="30"/>
      <c r="B246" s="138" t="s">
        <v>289</v>
      </c>
      <c r="C246" s="30">
        <v>1</v>
      </c>
      <c r="D246" s="30">
        <v>2022</v>
      </c>
      <c r="E246" s="139">
        <v>0.23400000000000001</v>
      </c>
      <c r="F246" s="139">
        <v>8.7999999999999995E-2</v>
      </c>
      <c r="G246" s="139">
        <v>0.23400000000000001</v>
      </c>
      <c r="H246" s="139">
        <v>0</v>
      </c>
      <c r="I246" s="139">
        <v>0.156</v>
      </c>
      <c r="J246" s="139">
        <v>8.7999999999999995E-2</v>
      </c>
      <c r="K246" s="139">
        <v>0.156</v>
      </c>
      <c r="L246" s="139">
        <v>8.7999999999999995E-2</v>
      </c>
      <c r="M246" s="84">
        <f t="shared" ref="M246:M250" si="35">+G246-K246</f>
        <v>7.8000000000000014E-2</v>
      </c>
      <c r="N246" s="43"/>
    </row>
    <row r="247" spans="1:14" s="31" customFormat="1" ht="12.75">
      <c r="A247" s="30"/>
      <c r="B247" s="138" t="s">
        <v>163</v>
      </c>
      <c r="C247" s="30">
        <v>1</v>
      </c>
      <c r="D247" s="30">
        <v>2022</v>
      </c>
      <c r="E247" s="139">
        <v>0.221</v>
      </c>
      <c r="F247" s="139">
        <v>8.1000000000000003E-2</v>
      </c>
      <c r="G247" s="139">
        <v>0.221</v>
      </c>
      <c r="H247" s="139">
        <v>0</v>
      </c>
      <c r="I247" s="139">
        <v>0.14699999999999999</v>
      </c>
      <c r="J247" s="139">
        <v>8.1000000000000003E-2</v>
      </c>
      <c r="K247" s="139">
        <v>0.14699999999999999</v>
      </c>
      <c r="L247" s="139">
        <v>8.1000000000000003E-2</v>
      </c>
      <c r="M247" s="84">
        <f t="shared" si="35"/>
        <v>7.400000000000001E-2</v>
      </c>
      <c r="N247" s="43"/>
    </row>
    <row r="248" spans="1:14" s="31" customFormat="1" ht="12.75">
      <c r="A248" s="30"/>
      <c r="B248" s="138" t="s">
        <v>290</v>
      </c>
      <c r="C248" s="30">
        <v>1</v>
      </c>
      <c r="D248" s="30">
        <v>2022</v>
      </c>
      <c r="E248" s="139">
        <v>0.82399999999999995</v>
      </c>
      <c r="F248" s="139">
        <v>0.29199999999999998</v>
      </c>
      <c r="G248" s="139">
        <v>0.82399999999999995</v>
      </c>
      <c r="H248" s="139">
        <v>0</v>
      </c>
      <c r="I248" s="139">
        <v>5.7000000000000002E-2</v>
      </c>
      <c r="J248" s="139">
        <v>0.29199999999999998</v>
      </c>
      <c r="K248" s="139">
        <v>5.7000000000000002E-2</v>
      </c>
      <c r="L248" s="139">
        <v>0.29199999999999998</v>
      </c>
      <c r="M248" s="84">
        <f t="shared" si="35"/>
        <v>0.7669999999999999</v>
      </c>
      <c r="N248" s="43"/>
    </row>
    <row r="249" spans="1:14" s="31" customFormat="1" ht="12.75">
      <c r="A249" s="30"/>
      <c r="B249" s="138" t="s">
        <v>291</v>
      </c>
      <c r="C249" s="30">
        <v>1</v>
      </c>
      <c r="D249" s="30">
        <v>2022</v>
      </c>
      <c r="E249" s="139">
        <v>2.5999999999999999E-2</v>
      </c>
      <c r="F249" s="139">
        <v>2.3E-2</v>
      </c>
      <c r="G249" s="139">
        <v>0.26</v>
      </c>
      <c r="H249" s="139"/>
      <c r="I249" s="139">
        <v>0.26</v>
      </c>
      <c r="J249" s="139">
        <v>2.3E-2</v>
      </c>
      <c r="K249" s="139">
        <v>0.26</v>
      </c>
      <c r="L249" s="139">
        <v>2.3E-2</v>
      </c>
      <c r="M249" s="84">
        <f t="shared" si="35"/>
        <v>0</v>
      </c>
      <c r="N249" s="43"/>
    </row>
    <row r="250" spans="1:14" s="31" customFormat="1" ht="12.75">
      <c r="A250" s="30"/>
      <c r="B250" s="138" t="s">
        <v>292</v>
      </c>
      <c r="C250" s="30">
        <v>1</v>
      </c>
      <c r="D250" s="30">
        <v>2022</v>
      </c>
      <c r="E250" s="139">
        <v>0.96099999999999997</v>
      </c>
      <c r="F250" s="139">
        <v>0.7</v>
      </c>
      <c r="G250" s="139">
        <v>0.96099999999999997</v>
      </c>
      <c r="H250" s="139">
        <v>0</v>
      </c>
      <c r="I250" s="139">
        <v>0</v>
      </c>
      <c r="J250" s="139">
        <v>0.7</v>
      </c>
      <c r="K250" s="139">
        <v>0</v>
      </c>
      <c r="L250" s="139">
        <v>0.7</v>
      </c>
      <c r="M250" s="84">
        <f t="shared" si="35"/>
        <v>0.96099999999999997</v>
      </c>
      <c r="N250" s="43"/>
    </row>
    <row r="251" spans="1:14" s="31" customFormat="1" ht="12.75">
      <c r="A251" s="30"/>
      <c r="B251" s="140" t="s">
        <v>293</v>
      </c>
      <c r="C251" s="30">
        <v>1</v>
      </c>
      <c r="D251" s="30">
        <v>2022</v>
      </c>
      <c r="E251" s="43">
        <v>0.158</v>
      </c>
      <c r="F251" s="43">
        <v>5.5E-2</v>
      </c>
      <c r="G251" s="43"/>
      <c r="H251" s="30"/>
      <c r="I251" s="44"/>
      <c r="J251" s="45"/>
      <c r="K251" s="43"/>
      <c r="L251" s="45"/>
      <c r="M251" s="43"/>
      <c r="N251" s="43"/>
    </row>
    <row r="252" spans="1:14" s="31" customFormat="1" ht="12.75">
      <c r="A252" s="30"/>
      <c r="B252" s="140" t="s">
        <v>294</v>
      </c>
      <c r="C252" s="30">
        <v>1</v>
      </c>
      <c r="D252" s="30">
        <v>2022</v>
      </c>
      <c r="E252" s="43">
        <v>0.34499999999999997</v>
      </c>
      <c r="F252" s="43">
        <v>0.104</v>
      </c>
      <c r="G252" s="43"/>
      <c r="H252" s="30"/>
      <c r="I252" s="44"/>
      <c r="J252" s="45"/>
      <c r="K252" s="43"/>
      <c r="L252" s="45"/>
      <c r="M252" s="43"/>
      <c r="N252" s="43"/>
    </row>
    <row r="253" spans="1:14" s="31" customFormat="1" ht="12.75">
      <c r="A253" s="30"/>
      <c r="B253" s="140" t="s">
        <v>295</v>
      </c>
      <c r="C253" s="30">
        <v>1</v>
      </c>
      <c r="D253" s="30">
        <v>2022</v>
      </c>
      <c r="E253" s="43">
        <v>0.19500000000000001</v>
      </c>
      <c r="F253" s="43">
        <v>6.2E-2</v>
      </c>
      <c r="G253" s="43"/>
      <c r="H253" s="30"/>
      <c r="I253" s="44"/>
      <c r="J253" s="45"/>
      <c r="K253" s="43"/>
      <c r="L253" s="45"/>
      <c r="M253" s="43"/>
      <c r="N253" s="43"/>
    </row>
    <row r="254" spans="1:14" s="31" customFormat="1" ht="12.75">
      <c r="A254" s="30"/>
      <c r="B254" s="140" t="s">
        <v>296</v>
      </c>
      <c r="C254" s="30">
        <v>1</v>
      </c>
      <c r="D254" s="30">
        <v>2022</v>
      </c>
      <c r="E254" s="43">
        <v>0.41099999999999998</v>
      </c>
      <c r="F254" s="43">
        <v>0.14099999999999999</v>
      </c>
      <c r="G254" s="43"/>
      <c r="H254" s="30"/>
      <c r="I254" s="44"/>
      <c r="J254" s="45"/>
      <c r="K254" s="43"/>
      <c r="L254" s="45"/>
      <c r="M254" s="43"/>
      <c r="N254" s="43"/>
    </row>
    <row r="255" spans="1:14" s="31" customFormat="1" ht="12.75">
      <c r="A255" s="30"/>
      <c r="B255" s="140" t="s">
        <v>297</v>
      </c>
      <c r="C255" s="30">
        <v>1</v>
      </c>
      <c r="D255" s="30">
        <v>2022</v>
      </c>
      <c r="E255" s="43">
        <v>0.219</v>
      </c>
      <c r="F255" s="43">
        <v>0.104</v>
      </c>
      <c r="G255" s="43"/>
      <c r="H255" s="30"/>
      <c r="I255" s="44"/>
      <c r="J255" s="45"/>
      <c r="K255" s="43"/>
      <c r="L255" s="45"/>
      <c r="M255" s="43"/>
      <c r="N255" s="43"/>
    </row>
    <row r="256" spans="1:14" s="31" customFormat="1" ht="12.75">
      <c r="A256" s="30"/>
      <c r="B256" s="140" t="s">
        <v>298</v>
      </c>
      <c r="C256" s="30">
        <v>1</v>
      </c>
      <c r="D256" s="30">
        <v>2022</v>
      </c>
      <c r="E256" s="43">
        <v>6.6000000000000003E-2</v>
      </c>
      <c r="F256" s="43">
        <v>2.5000000000000001E-2</v>
      </c>
      <c r="G256" s="43"/>
      <c r="H256" s="30"/>
      <c r="I256" s="44"/>
      <c r="J256" s="45"/>
      <c r="K256" s="43"/>
      <c r="L256" s="45"/>
      <c r="M256" s="43"/>
      <c r="N256" s="43"/>
    </row>
    <row r="257" spans="1:14" s="31" customFormat="1" ht="12.75">
      <c r="A257" s="30"/>
      <c r="B257" s="140" t="s">
        <v>299</v>
      </c>
      <c r="C257" s="30">
        <v>1</v>
      </c>
      <c r="D257" s="30">
        <v>2022</v>
      </c>
      <c r="E257" s="43">
        <v>0.24399999999999999</v>
      </c>
      <c r="F257" s="43">
        <v>0.09</v>
      </c>
      <c r="G257" s="43"/>
      <c r="H257" s="30"/>
      <c r="I257" s="44"/>
      <c r="J257" s="45"/>
      <c r="K257" s="43"/>
      <c r="L257" s="45"/>
      <c r="M257" s="43"/>
      <c r="N257" s="43"/>
    </row>
    <row r="258" spans="1:14" s="52" customFormat="1" ht="14.25">
      <c r="A258" s="41" t="s">
        <v>18</v>
      </c>
      <c r="B258" s="40" t="s">
        <v>28</v>
      </c>
      <c r="C258" s="41"/>
      <c r="D258" s="41"/>
      <c r="E258" s="41">
        <f t="shared" ref="E258:N258" si="36">+E259+E266+E270</f>
        <v>0.40199305299999999</v>
      </c>
      <c r="F258" s="41">
        <f t="shared" si="36"/>
        <v>0.12968000000000002</v>
      </c>
      <c r="G258" s="41">
        <f t="shared" si="36"/>
        <v>0.38829827699999997</v>
      </c>
      <c r="H258" s="41">
        <f t="shared" si="36"/>
        <v>0.38829759999999997</v>
      </c>
      <c r="I258" s="41">
        <f t="shared" si="36"/>
        <v>0.38829759999999997</v>
      </c>
      <c r="J258" s="41">
        <f t="shared" si="36"/>
        <v>0.12968000000000002</v>
      </c>
      <c r="K258" s="41">
        <f t="shared" si="36"/>
        <v>0.38829759999999997</v>
      </c>
      <c r="L258" s="41">
        <f t="shared" si="36"/>
        <v>0.12968000000000002</v>
      </c>
      <c r="M258" s="41">
        <f t="shared" si="36"/>
        <v>0</v>
      </c>
      <c r="N258" s="41">
        <f t="shared" si="36"/>
        <v>0</v>
      </c>
    </row>
    <row r="259" spans="1:14">
      <c r="A259" s="41" t="s">
        <v>7</v>
      </c>
      <c r="B259" s="40" t="s">
        <v>77</v>
      </c>
      <c r="C259" s="30"/>
      <c r="D259" s="30"/>
      <c r="E259" s="30">
        <f>+SUM(E260:E262)</f>
        <v>0.40199305299999999</v>
      </c>
      <c r="F259" s="30">
        <f t="shared" ref="F259:N259" si="37">+SUM(F260:F262)</f>
        <v>0.12968000000000002</v>
      </c>
      <c r="G259" s="30">
        <f t="shared" si="37"/>
        <v>0.38829827699999997</v>
      </c>
      <c r="H259" s="30">
        <f t="shared" si="37"/>
        <v>0.38829759999999997</v>
      </c>
      <c r="I259" s="30">
        <f t="shared" si="37"/>
        <v>0.38829759999999997</v>
      </c>
      <c r="J259" s="30">
        <f t="shared" si="37"/>
        <v>0.12968000000000002</v>
      </c>
      <c r="K259" s="30">
        <f t="shared" si="37"/>
        <v>0.38829759999999997</v>
      </c>
      <c r="L259" s="30">
        <f t="shared" si="37"/>
        <v>0.12968000000000002</v>
      </c>
      <c r="M259" s="30">
        <f t="shared" si="37"/>
        <v>0</v>
      </c>
      <c r="N259" s="30">
        <f t="shared" si="37"/>
        <v>0</v>
      </c>
    </row>
    <row r="260" spans="1:14">
      <c r="A260" s="30">
        <v>1</v>
      </c>
      <c r="B260" s="34" t="s">
        <v>78</v>
      </c>
      <c r="C260" s="30"/>
      <c r="D260" s="30"/>
      <c r="E260" s="30"/>
      <c r="F260" s="30"/>
      <c r="G260" s="30"/>
      <c r="H260" s="30"/>
      <c r="I260" s="30"/>
      <c r="J260" s="30"/>
      <c r="K260" s="30"/>
      <c r="L260" s="30"/>
      <c r="M260" s="30"/>
      <c r="N260" s="30"/>
    </row>
    <row r="261" spans="1:14">
      <c r="A261" s="30">
        <v>2</v>
      </c>
      <c r="B261" s="34" t="s">
        <v>78</v>
      </c>
      <c r="C261" s="30"/>
      <c r="D261" s="30"/>
      <c r="E261" s="30"/>
      <c r="F261" s="30"/>
      <c r="G261" s="30"/>
      <c r="H261" s="30"/>
      <c r="I261" s="30"/>
      <c r="J261" s="30"/>
      <c r="K261" s="30"/>
      <c r="L261" s="30"/>
      <c r="M261" s="30"/>
      <c r="N261" s="30"/>
    </row>
    <row r="262" spans="1:14">
      <c r="A262" s="30">
        <v>3</v>
      </c>
      <c r="B262" s="34" t="s">
        <v>79</v>
      </c>
      <c r="C262" s="30"/>
      <c r="D262" s="30"/>
      <c r="E262" s="43">
        <f t="shared" ref="E262:N262" si="38">+SUM(E263:E265)</f>
        <v>0.40199305299999999</v>
      </c>
      <c r="F262" s="43">
        <f t="shared" si="38"/>
        <v>0.12968000000000002</v>
      </c>
      <c r="G262" s="43">
        <f t="shared" si="38"/>
        <v>0.38829827699999997</v>
      </c>
      <c r="H262" s="43">
        <f t="shared" si="38"/>
        <v>0.38829759999999997</v>
      </c>
      <c r="I262" s="43">
        <f t="shared" si="38"/>
        <v>0.38829759999999997</v>
      </c>
      <c r="J262" s="43">
        <f t="shared" si="38"/>
        <v>0.12968000000000002</v>
      </c>
      <c r="K262" s="43">
        <f t="shared" si="38"/>
        <v>0.38829759999999997</v>
      </c>
      <c r="L262" s="43">
        <f t="shared" si="38"/>
        <v>0.12968000000000002</v>
      </c>
      <c r="M262" s="43">
        <f t="shared" si="38"/>
        <v>0</v>
      </c>
      <c r="N262" s="43">
        <f t="shared" si="38"/>
        <v>0</v>
      </c>
    </row>
    <row r="263" spans="1:14" s="31" customFormat="1" ht="12.75">
      <c r="A263" s="30"/>
      <c r="B263" s="87" t="s">
        <v>52</v>
      </c>
      <c r="C263" s="46">
        <v>1</v>
      </c>
      <c r="D263" s="46">
        <v>2020</v>
      </c>
      <c r="E263" s="61">
        <v>0.20731819900000001</v>
      </c>
      <c r="F263" s="61">
        <v>6.2480000000000001E-2</v>
      </c>
      <c r="G263" s="61">
        <v>0.200486894</v>
      </c>
      <c r="H263" s="61">
        <v>0.20048679999999999</v>
      </c>
      <c r="I263" s="61">
        <v>0.20048679999999999</v>
      </c>
      <c r="J263" s="61">
        <v>6.2480000000000001E-2</v>
      </c>
      <c r="K263" s="61">
        <v>0.20048679999999999</v>
      </c>
      <c r="L263" s="61">
        <v>6.2480000000000001E-2</v>
      </c>
      <c r="M263" s="57">
        <f>+H263-I263</f>
        <v>0</v>
      </c>
      <c r="N263" s="57"/>
    </row>
    <row r="264" spans="1:14" s="31" customFormat="1" ht="12.75">
      <c r="A264" s="30"/>
      <c r="B264" s="87" t="s">
        <v>53</v>
      </c>
      <c r="C264" s="46">
        <v>1</v>
      </c>
      <c r="D264" s="46">
        <v>2020</v>
      </c>
      <c r="E264" s="61">
        <v>6.2238380000000003E-2</v>
      </c>
      <c r="F264" s="61">
        <v>1.9199999999999998E-2</v>
      </c>
      <c r="G264" s="61">
        <v>6.0199084E-2</v>
      </c>
      <c r="H264" s="61">
        <v>6.0199000000000003E-2</v>
      </c>
      <c r="I264" s="61">
        <v>6.0199000000000003E-2</v>
      </c>
      <c r="J264" s="61">
        <v>1.9199999999999998E-2</v>
      </c>
      <c r="K264" s="61">
        <v>6.0199000000000003E-2</v>
      </c>
      <c r="L264" s="61">
        <v>1.9199999999999998E-2</v>
      </c>
      <c r="M264" s="57">
        <f>+H264-I264</f>
        <v>0</v>
      </c>
      <c r="N264" s="57"/>
    </row>
    <row r="265" spans="1:14" s="31" customFormat="1" ht="12.75">
      <c r="A265" s="30"/>
      <c r="B265" s="87" t="s">
        <v>54</v>
      </c>
      <c r="C265" s="46">
        <v>1</v>
      </c>
      <c r="D265" s="39">
        <v>2020</v>
      </c>
      <c r="E265" s="61">
        <v>0.132436474</v>
      </c>
      <c r="F265" s="61">
        <v>4.8000000000000001E-2</v>
      </c>
      <c r="G265" s="61">
        <v>0.12761229900000001</v>
      </c>
      <c r="H265" s="61">
        <v>0.1276118</v>
      </c>
      <c r="I265" s="61">
        <v>0.1276118</v>
      </c>
      <c r="J265" s="61">
        <v>4.8000000000000001E-2</v>
      </c>
      <c r="K265" s="61">
        <v>0.1276118</v>
      </c>
      <c r="L265" s="61">
        <v>4.8000000000000001E-2</v>
      </c>
      <c r="M265" s="57">
        <f>+H265-I265</f>
        <v>0</v>
      </c>
      <c r="N265" s="57"/>
    </row>
    <row r="266" spans="1:14">
      <c r="A266" s="41" t="s">
        <v>8</v>
      </c>
      <c r="B266" s="40" t="s">
        <v>80</v>
      </c>
      <c r="C266" s="30"/>
      <c r="D266" s="30"/>
      <c r="E266" s="30"/>
      <c r="F266" s="30"/>
      <c r="G266" s="30"/>
      <c r="H266" s="30"/>
      <c r="I266" s="30"/>
      <c r="J266" s="30"/>
      <c r="K266" s="30"/>
      <c r="L266" s="30"/>
      <c r="M266" s="30"/>
      <c r="N266" s="30"/>
    </row>
    <row r="267" spans="1:14">
      <c r="A267" s="30">
        <v>1</v>
      </c>
      <c r="B267" s="34" t="s">
        <v>78</v>
      </c>
      <c r="C267" s="30"/>
      <c r="D267" s="30"/>
      <c r="E267" s="30"/>
      <c r="F267" s="30"/>
      <c r="G267" s="30"/>
      <c r="H267" s="30"/>
      <c r="I267" s="30"/>
      <c r="J267" s="30"/>
      <c r="K267" s="30"/>
      <c r="L267" s="30"/>
      <c r="M267" s="30"/>
      <c r="N267" s="30"/>
    </row>
    <row r="268" spans="1:14">
      <c r="A268" s="30">
        <v>2</v>
      </c>
      <c r="B268" s="34" t="s">
        <v>78</v>
      </c>
      <c r="C268" s="30"/>
      <c r="D268" s="30"/>
      <c r="E268" s="30"/>
      <c r="F268" s="30"/>
      <c r="G268" s="30"/>
      <c r="H268" s="30"/>
      <c r="I268" s="30"/>
      <c r="J268" s="30"/>
      <c r="K268" s="30"/>
      <c r="L268" s="30"/>
      <c r="M268" s="30"/>
      <c r="N268" s="30"/>
    </row>
    <row r="269" spans="1:14">
      <c r="A269" s="30">
        <v>3</v>
      </c>
      <c r="B269" s="34" t="s">
        <v>79</v>
      </c>
      <c r="C269" s="30"/>
      <c r="D269" s="30"/>
      <c r="E269" s="30"/>
      <c r="F269" s="30"/>
      <c r="G269" s="30"/>
      <c r="H269" s="30"/>
      <c r="I269" s="30"/>
      <c r="J269" s="30"/>
      <c r="K269" s="30"/>
      <c r="L269" s="30"/>
      <c r="M269" s="30"/>
      <c r="N269" s="30"/>
    </row>
    <row r="270" spans="1:14">
      <c r="A270" s="41" t="s">
        <v>9</v>
      </c>
      <c r="B270" s="40" t="s">
        <v>81</v>
      </c>
      <c r="C270" s="30"/>
      <c r="D270" s="30"/>
      <c r="E270" s="30"/>
      <c r="F270" s="30"/>
      <c r="G270" s="30"/>
      <c r="H270" s="30"/>
      <c r="I270" s="30"/>
      <c r="J270" s="30"/>
      <c r="K270" s="30"/>
      <c r="L270" s="30"/>
      <c r="M270" s="30"/>
      <c r="N270" s="30"/>
    </row>
    <row r="271" spans="1:14">
      <c r="A271" s="30">
        <v>1</v>
      </c>
      <c r="B271" s="34" t="s">
        <v>78</v>
      </c>
      <c r="C271" s="30"/>
      <c r="D271" s="30"/>
      <c r="E271" s="30"/>
      <c r="F271" s="30"/>
      <c r="G271" s="30"/>
      <c r="H271" s="30"/>
      <c r="I271" s="30"/>
      <c r="J271" s="30"/>
      <c r="K271" s="30"/>
      <c r="L271" s="30"/>
      <c r="M271" s="30"/>
      <c r="N271" s="30"/>
    </row>
    <row r="272" spans="1:14">
      <c r="A272" s="30">
        <v>2</v>
      </c>
      <c r="B272" s="34" t="s">
        <v>78</v>
      </c>
      <c r="C272" s="30"/>
      <c r="D272" s="30"/>
      <c r="E272" s="30"/>
      <c r="F272" s="30"/>
      <c r="G272" s="30"/>
      <c r="H272" s="30"/>
      <c r="I272" s="30"/>
      <c r="J272" s="30"/>
      <c r="K272" s="30"/>
      <c r="L272" s="30"/>
      <c r="M272" s="30"/>
      <c r="N272" s="30"/>
    </row>
    <row r="273" spans="1:14">
      <c r="A273" s="30">
        <v>3</v>
      </c>
      <c r="B273" s="34" t="s">
        <v>79</v>
      </c>
      <c r="C273" s="30"/>
      <c r="D273" s="30"/>
      <c r="E273" s="30"/>
      <c r="F273" s="30"/>
      <c r="G273" s="30"/>
      <c r="H273" s="30"/>
      <c r="I273" s="30"/>
      <c r="J273" s="30"/>
      <c r="K273" s="30"/>
      <c r="L273" s="30"/>
      <c r="M273" s="30"/>
      <c r="N273" s="30"/>
    </row>
    <row r="274" spans="1:14">
      <c r="A274" s="31"/>
      <c r="B274" s="31"/>
      <c r="C274" s="31"/>
      <c r="D274" s="31"/>
      <c r="E274" s="31"/>
      <c r="F274" s="31"/>
      <c r="G274" s="31"/>
      <c r="H274" s="31"/>
      <c r="I274" s="31"/>
      <c r="J274" s="31"/>
      <c r="K274" s="31"/>
      <c r="L274" s="31"/>
      <c r="M274" s="31"/>
      <c r="N274" s="31"/>
    </row>
    <row r="275" spans="1:14" ht="15.75">
      <c r="B275" s="259" t="s">
        <v>10</v>
      </c>
      <c r="C275" s="259"/>
      <c r="D275" s="259"/>
      <c r="E275" s="259"/>
      <c r="F275" s="142"/>
      <c r="G275" s="259"/>
      <c r="H275" s="259"/>
      <c r="I275" s="259"/>
      <c r="J275" s="259"/>
      <c r="K275" s="259"/>
      <c r="L275" s="259"/>
      <c r="M275" s="259"/>
      <c r="N275" s="142"/>
    </row>
    <row r="276" spans="1:14" ht="15.75">
      <c r="B276" s="141"/>
      <c r="C276" s="141"/>
      <c r="D276" s="141"/>
      <c r="E276" s="141"/>
      <c r="F276" s="141"/>
      <c r="G276" s="141"/>
      <c r="H276" s="141"/>
      <c r="I276" s="141"/>
      <c r="J276" s="141"/>
      <c r="K276" s="141"/>
      <c r="L276" s="141"/>
      <c r="M276" s="141"/>
      <c r="N276" s="141"/>
    </row>
    <row r="277" spans="1:14" ht="15.75">
      <c r="B277" s="141"/>
      <c r="C277" s="141"/>
      <c r="D277" s="141"/>
      <c r="E277" s="141"/>
      <c r="F277" s="141"/>
      <c r="G277" s="141"/>
      <c r="H277" s="141"/>
      <c r="I277" s="141"/>
      <c r="J277" s="141"/>
      <c r="K277" s="141"/>
      <c r="L277" s="141"/>
      <c r="M277" s="141"/>
      <c r="N277" s="141"/>
    </row>
    <row r="278" spans="1:14" ht="15.75">
      <c r="B278" s="141"/>
      <c r="C278" s="141"/>
      <c r="D278" s="141"/>
      <c r="E278" s="141"/>
      <c r="F278" s="141"/>
      <c r="G278" s="141"/>
      <c r="H278" s="141"/>
      <c r="I278" s="141"/>
      <c r="J278" s="141"/>
      <c r="K278" s="141"/>
      <c r="L278" s="141"/>
      <c r="M278" s="141"/>
      <c r="N278" s="141"/>
    </row>
    <row r="279" spans="1:14" ht="15.75">
      <c r="B279" s="141"/>
      <c r="C279" s="141"/>
      <c r="D279" s="141"/>
      <c r="E279" s="141"/>
      <c r="F279" s="141"/>
      <c r="G279" s="141"/>
      <c r="H279" s="141"/>
      <c r="I279" s="141"/>
      <c r="J279" s="141"/>
      <c r="K279" s="141"/>
      <c r="L279" s="141"/>
      <c r="M279" s="141"/>
      <c r="N279" s="141"/>
    </row>
    <row r="280" spans="1:14" ht="15.75">
      <c r="B280" s="141"/>
      <c r="C280" s="141"/>
      <c r="D280" s="141"/>
      <c r="E280" s="141"/>
      <c r="F280" s="141"/>
      <c r="G280" s="141"/>
      <c r="H280" s="141"/>
      <c r="I280" s="141"/>
      <c r="J280" s="141"/>
      <c r="K280" s="141"/>
      <c r="L280" s="141"/>
      <c r="M280" s="141"/>
      <c r="N280" s="141"/>
    </row>
    <row r="281" spans="1:14" ht="15.75">
      <c r="B281" s="259" t="s">
        <v>67</v>
      </c>
      <c r="C281" s="259"/>
      <c r="D281" s="259"/>
      <c r="E281" s="259"/>
      <c r="F281" s="141"/>
      <c r="G281" s="141"/>
      <c r="H281" s="141"/>
      <c r="I281" s="141"/>
      <c r="J281" s="141"/>
      <c r="K281" s="141"/>
      <c r="L281" s="141"/>
      <c r="M281" s="141"/>
      <c r="N281" s="141"/>
    </row>
    <row r="282" spans="1:14" ht="15.75">
      <c r="B282" s="255" t="s">
        <v>87</v>
      </c>
      <c r="C282" s="255"/>
      <c r="D282" s="255"/>
      <c r="E282" s="255"/>
      <c r="F282" s="141"/>
      <c r="G282" s="141"/>
      <c r="H282" s="141"/>
      <c r="I282" s="141"/>
      <c r="J282" s="141"/>
      <c r="K282" s="141"/>
      <c r="L282" s="141"/>
      <c r="M282" s="141"/>
      <c r="N282" s="141"/>
    </row>
    <row r="283" spans="1:14" ht="15.75">
      <c r="B283" s="141"/>
      <c r="C283" s="141"/>
      <c r="D283" s="141"/>
      <c r="E283" s="141"/>
      <c r="F283" s="141"/>
      <c r="G283" s="141"/>
      <c r="H283" s="141"/>
      <c r="I283" s="141"/>
      <c r="J283" s="141"/>
      <c r="K283" s="141"/>
      <c r="L283" s="141"/>
      <c r="M283" s="141"/>
      <c r="N283" s="141"/>
    </row>
    <row r="284" spans="1:14" ht="15.75">
      <c r="B284" s="141"/>
      <c r="C284" s="141"/>
      <c r="D284" s="141"/>
      <c r="E284" s="141"/>
      <c r="F284" s="141"/>
      <c r="G284" s="141"/>
      <c r="H284" s="141"/>
      <c r="I284" s="141"/>
      <c r="J284" s="141"/>
      <c r="K284" s="141"/>
      <c r="L284" s="141"/>
      <c r="M284" s="141"/>
      <c r="N284" s="141"/>
    </row>
    <row r="285" spans="1:14" ht="15.75">
      <c r="B285" s="141"/>
      <c r="C285" s="141"/>
      <c r="D285" s="141"/>
      <c r="E285" s="141"/>
      <c r="F285" s="141"/>
      <c r="G285" s="141"/>
      <c r="H285" s="141"/>
      <c r="I285" s="141"/>
      <c r="J285" s="141"/>
      <c r="K285" s="141"/>
      <c r="L285" s="141"/>
      <c r="M285" s="141"/>
      <c r="N285" s="141"/>
    </row>
    <row r="286" spans="1:14" ht="15.75">
      <c r="B286" s="141"/>
      <c r="C286" s="141"/>
      <c r="D286" s="141"/>
      <c r="E286" s="141"/>
      <c r="F286" s="141"/>
      <c r="G286" s="141"/>
      <c r="H286" s="141"/>
      <c r="I286" s="141"/>
      <c r="J286" s="141"/>
      <c r="K286" s="141"/>
      <c r="L286" s="141"/>
      <c r="M286" s="141"/>
      <c r="N286" s="141"/>
    </row>
    <row r="287" spans="1:14" ht="15.75">
      <c r="B287" s="141"/>
      <c r="C287" s="141"/>
      <c r="D287" s="141"/>
      <c r="E287" s="141"/>
      <c r="F287" s="141"/>
      <c r="G287" s="141"/>
      <c r="H287" s="141"/>
      <c r="I287" s="141"/>
      <c r="J287" s="141"/>
      <c r="K287" s="141"/>
      <c r="L287" s="141"/>
      <c r="M287" s="141"/>
      <c r="N287" s="141"/>
    </row>
    <row r="288" spans="1:14" ht="15.75">
      <c r="B288" s="141"/>
      <c r="C288" s="141"/>
      <c r="D288" s="141"/>
      <c r="E288" s="141"/>
      <c r="F288" s="141"/>
      <c r="G288" s="141"/>
      <c r="H288" s="141"/>
      <c r="I288" s="141"/>
      <c r="J288" s="141"/>
      <c r="K288" s="141"/>
      <c r="L288" s="141"/>
      <c r="M288" s="141"/>
      <c r="N288" s="141"/>
    </row>
    <row r="289" spans="2:14" ht="15.75">
      <c r="B289" s="141"/>
      <c r="C289" s="141"/>
      <c r="D289" s="141"/>
      <c r="E289" s="141"/>
      <c r="F289" s="141"/>
      <c r="G289" s="141"/>
      <c r="H289" s="141"/>
      <c r="I289" s="141"/>
      <c r="J289" s="141"/>
      <c r="K289" s="141"/>
      <c r="L289" s="141"/>
      <c r="M289" s="141"/>
      <c r="N289" s="141"/>
    </row>
    <row r="291" spans="2:14">
      <c r="B291" s="244" t="s">
        <v>42</v>
      </c>
      <c r="C291" s="244"/>
      <c r="D291" s="244"/>
      <c r="E291" s="244"/>
      <c r="F291" s="244"/>
      <c r="G291" s="244"/>
      <c r="H291" s="244"/>
      <c r="I291" s="244"/>
      <c r="J291" s="244"/>
      <c r="K291" s="244"/>
      <c r="L291" s="244"/>
      <c r="M291" s="244"/>
      <c r="N291" s="244"/>
    </row>
    <row r="292" spans="2:14" ht="35.25" customHeight="1">
      <c r="B292" s="253" t="s">
        <v>85</v>
      </c>
      <c r="C292" s="253"/>
      <c r="D292" s="253"/>
      <c r="E292" s="253"/>
      <c r="F292" s="253"/>
      <c r="G292" s="253"/>
      <c r="H292" s="253"/>
      <c r="I292" s="253"/>
      <c r="J292" s="253"/>
      <c r="K292" s="253"/>
      <c r="L292" s="253"/>
      <c r="M292" s="253"/>
      <c r="N292" s="253"/>
    </row>
    <row r="293" spans="2:14" ht="37.5" customHeight="1">
      <c r="B293" s="253" t="s">
        <v>34</v>
      </c>
      <c r="C293" s="253"/>
      <c r="D293" s="253"/>
      <c r="E293" s="253"/>
      <c r="F293" s="253"/>
      <c r="G293" s="253"/>
      <c r="H293" s="253"/>
      <c r="I293" s="253"/>
      <c r="J293" s="253"/>
      <c r="K293" s="253"/>
      <c r="L293" s="253"/>
      <c r="M293" s="253"/>
      <c r="N293" s="253"/>
    </row>
    <row r="294" spans="2:14" ht="43.5" customHeight="1">
      <c r="B294" s="253" t="s">
        <v>86</v>
      </c>
      <c r="C294" s="253"/>
      <c r="D294" s="253"/>
      <c r="E294" s="253"/>
      <c r="F294" s="253"/>
      <c r="G294" s="253"/>
      <c r="H294" s="253"/>
      <c r="I294" s="253"/>
      <c r="J294" s="253"/>
      <c r="K294" s="253"/>
      <c r="L294" s="253"/>
      <c r="M294" s="253"/>
      <c r="N294" s="253"/>
    </row>
    <row r="295" spans="2:14" ht="18.75" customHeight="1">
      <c r="B295" s="253" t="s">
        <v>82</v>
      </c>
      <c r="C295" s="253"/>
      <c r="D295" s="253"/>
      <c r="E295" s="253"/>
      <c r="F295" s="253"/>
      <c r="G295" s="253"/>
      <c r="H295" s="253"/>
      <c r="I295" s="253"/>
      <c r="J295" s="253"/>
      <c r="K295" s="253"/>
      <c r="L295" s="253"/>
      <c r="M295" s="253"/>
      <c r="N295" s="253"/>
    </row>
    <row r="296" spans="2:14" ht="24.75" customHeight="1">
      <c r="B296" s="253" t="s">
        <v>35</v>
      </c>
      <c r="C296" s="253"/>
      <c r="D296" s="253"/>
      <c r="E296" s="253"/>
      <c r="F296" s="253"/>
      <c r="G296" s="253"/>
      <c r="H296" s="253"/>
      <c r="I296" s="253"/>
      <c r="J296" s="253"/>
      <c r="K296" s="253"/>
      <c r="L296" s="253"/>
      <c r="M296" s="253"/>
      <c r="N296" s="253"/>
    </row>
    <row r="297" spans="2:14" ht="27.75" customHeight="1">
      <c r="B297" s="253" t="s">
        <v>83</v>
      </c>
      <c r="C297" s="253"/>
      <c r="D297" s="253"/>
      <c r="E297" s="253"/>
      <c r="F297" s="253"/>
      <c r="G297" s="253"/>
      <c r="H297" s="253"/>
      <c r="I297" s="253"/>
      <c r="J297" s="253"/>
      <c r="K297" s="253"/>
      <c r="L297" s="253"/>
      <c r="M297" s="253"/>
      <c r="N297" s="253"/>
    </row>
    <row r="298" spans="2:14" ht="35.25" customHeight="1">
      <c r="B298" s="254"/>
      <c r="C298" s="254"/>
      <c r="D298" s="254"/>
      <c r="E298" s="254"/>
      <c r="F298" s="254"/>
      <c r="G298" s="254"/>
      <c r="H298" s="254"/>
      <c r="I298" s="143"/>
      <c r="J298" s="143"/>
    </row>
    <row r="299" spans="2:14">
      <c r="B299" s="254"/>
      <c r="C299" s="254"/>
      <c r="D299" s="254"/>
      <c r="E299" s="254"/>
      <c r="F299" s="254"/>
      <c r="G299" s="254"/>
      <c r="H299" s="254"/>
      <c r="I299" s="143"/>
      <c r="J299" s="143"/>
    </row>
    <row r="300" spans="2:14">
      <c r="B300" s="254"/>
      <c r="C300" s="254"/>
      <c r="D300" s="254"/>
      <c r="E300" s="254"/>
      <c r="F300" s="254"/>
      <c r="G300" s="254"/>
      <c r="H300" s="254"/>
      <c r="I300" s="143"/>
      <c r="J300" s="143"/>
    </row>
  </sheetData>
  <mergeCells count="36">
    <mergeCell ref="A1:B1"/>
    <mergeCell ref="A2:N2"/>
    <mergeCell ref="A3:N3"/>
    <mergeCell ref="L4:N4"/>
    <mergeCell ref="A5:A7"/>
    <mergeCell ref="B5:B7"/>
    <mergeCell ref="C5:C7"/>
    <mergeCell ref="D5:D7"/>
    <mergeCell ref="E5:F5"/>
    <mergeCell ref="G5:G7"/>
    <mergeCell ref="B282:E282"/>
    <mergeCell ref="H5:H7"/>
    <mergeCell ref="I5:J5"/>
    <mergeCell ref="K5:L5"/>
    <mergeCell ref="M5:N5"/>
    <mergeCell ref="E6:E7"/>
    <mergeCell ref="F6:F7"/>
    <mergeCell ref="I6:I7"/>
    <mergeCell ref="J6:J7"/>
    <mergeCell ref="K6:K7"/>
    <mergeCell ref="L6:L7"/>
    <mergeCell ref="M6:M7"/>
    <mergeCell ref="N6:N7"/>
    <mergeCell ref="B275:E275"/>
    <mergeCell ref="G275:M275"/>
    <mergeCell ref="B281:E281"/>
    <mergeCell ref="B297:N297"/>
    <mergeCell ref="B298:H298"/>
    <mergeCell ref="B299:H299"/>
    <mergeCell ref="B300:H300"/>
    <mergeCell ref="B291:N291"/>
    <mergeCell ref="B292:N292"/>
    <mergeCell ref="B293:N293"/>
    <mergeCell ref="B294:N294"/>
    <mergeCell ref="B295:N295"/>
    <mergeCell ref="B296:N296"/>
  </mergeCells>
  <printOptions horizontalCentered="1"/>
  <pageMargins left="0.41" right="0.2" top="0.5" bottom="0.5" header="0.3" footer="0.3"/>
  <pageSetup paperSize="9" scale="9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2</vt:i4>
      </vt:variant>
      <vt:variant>
        <vt:lpstr>Named Ranges</vt:lpstr>
      </vt:variant>
      <vt:variant>
        <vt:i4>2</vt:i4>
      </vt:variant>
    </vt:vector>
  </HeadingPairs>
  <TitlesOfParts>
    <vt:vector size="7" baseType="lpstr">
      <vt:lpstr>Mẫu 12 T1-A</vt:lpstr>
      <vt:lpstr>Sheet1</vt:lpstr>
      <vt:lpstr>Mẫu 12 Tw B</vt:lpstr>
      <vt:lpstr>Chart2</vt:lpstr>
      <vt:lpstr>Chart1</vt:lpstr>
      <vt:lpstr>'Mẫu 12 T1-A'!Print_Titles</vt:lpstr>
      <vt:lpstr>'Mẫu 12 Tw B'!Print_Titles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phamtrongquy</dc:creator>
  <cp:lastModifiedBy>THP</cp:lastModifiedBy>
  <cp:lastPrinted>2025-01-08T08:46:26Z</cp:lastPrinted>
  <dcterms:created xsi:type="dcterms:W3CDTF">2021-10-06T08:18:27Z</dcterms:created>
  <dcterms:modified xsi:type="dcterms:W3CDTF">2025-01-08T08:58:21Z</dcterms:modified>
</cp:coreProperties>
</file>